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C:\Users\ezuluaga\Dropbox\CORNARE\INFORMES DE GESTIÓN\INFORME DE GESTIÓN 2019\Semestre II-2019\"/>
    </mc:Choice>
  </mc:AlternateContent>
  <bookViews>
    <workbookView xWindow="0" yWindow="0" windowWidth="27315" windowHeight="15360" tabRatio="647" activeTab="2"/>
  </bookViews>
  <sheets>
    <sheet name="Datos Generales" sheetId="38" r:id="rId1"/>
    <sheet name="Anexo 2 Protocolo Inf Gestión" sheetId="46" r:id="rId2"/>
    <sheet name="Anexo 1 Informe Gestion" sheetId="43" r:id="rId3"/>
  </sheets>
  <externalReferences>
    <externalReference r:id="rId4"/>
  </externalReferences>
  <definedNames>
    <definedName name="__________xlnm.Print_Area_1">#REF!</definedName>
    <definedName name="__________xlnm.Print_Area_2">#REF!</definedName>
    <definedName name="__________xlnm.Print_Area_3">#REF!</definedName>
    <definedName name="_________xlnm.Print_Area_1">#REF!</definedName>
    <definedName name="_________xlnm.Print_Area_2">#REF!</definedName>
    <definedName name="_________xlnm.Print_Area_3">#REF!</definedName>
    <definedName name="________xlnm.Print_Area_1">#REF!</definedName>
    <definedName name="________xlnm.Print_Area_2">#REF!</definedName>
    <definedName name="________xlnm.Print_Area_3">#REF!</definedName>
    <definedName name="_______xlnm.Print_Area_1">#REF!</definedName>
    <definedName name="_______xlnm.Print_Area_2">#REF!</definedName>
    <definedName name="_______xlnm.Print_Area_3">#REF!</definedName>
    <definedName name="_______xlnm.Print_Area_4">#REF!</definedName>
    <definedName name="______xlnm.Print_Area_1">#REF!</definedName>
    <definedName name="______xlnm.Print_Area_2">#REF!</definedName>
    <definedName name="______xlnm.Print_Area_3">#REF!</definedName>
    <definedName name="______xlnm.Print_Area_4">#REF!</definedName>
    <definedName name="_____xlnm.Print_Area_1">#REF!</definedName>
    <definedName name="_____xlnm.Print_Area_2">#REF!</definedName>
    <definedName name="_____xlnm.Print_Area_3">#REF!</definedName>
    <definedName name="_____xlnm.Print_Area_4">#REF!</definedName>
    <definedName name="____xlnm.Print_Area_1">#REF!</definedName>
    <definedName name="____xlnm.Print_Area_2">#REF!</definedName>
    <definedName name="____xlnm.Print_Area_3">#REF!</definedName>
    <definedName name="____xlnm.Print_Area_4">#REF!</definedName>
    <definedName name="___xlnm.Print_Area_1" localSheetId="2">#REF!</definedName>
    <definedName name="___xlnm.Print_Area_1">#REF!</definedName>
    <definedName name="___xlnm.Print_Area_2" localSheetId="2">#REF!</definedName>
    <definedName name="___xlnm.Print_Area_2">#REF!</definedName>
    <definedName name="___xlnm.Print_Area_3">#REF!</definedName>
    <definedName name="___xlnm.Print_Area_4">#REF!</definedName>
    <definedName name="__xlnm.Print_Area_1" localSheetId="2">#REF!</definedName>
    <definedName name="__xlnm.Print_Area_1">#REF!</definedName>
    <definedName name="__xlnm.Print_Area_2" localSheetId="2">#REF!</definedName>
    <definedName name="__xlnm.Print_Area_2">#REF!</definedName>
    <definedName name="__xlnm.Print_Area_3">#REF!</definedName>
    <definedName name="__xlnm.Print_Area_4">#REF!</definedName>
    <definedName name="_xlnm.Print_Area" localSheetId="2">'Anexo 1 Informe Gestion'!$A$2:$U$50</definedName>
    <definedName name="Lista_CAR" localSheetId="2">'[1]Datos Generales'!$H$5:$H$36</definedName>
    <definedName name="Lista_CAR">'Datos Generales'!$H$5:$H$36</definedName>
    <definedName name="REPORTE" comment="SI SE REPORTA" localSheetId="2">[1]Formulas!$F$33:$F$34</definedName>
    <definedName name="REPORTE" comment="SI SE REPORTA">#REF!</definedName>
    <definedName name="SI" comment="OPCION SI O NO" localSheetId="2">[1]Formulas!$D$33:$D$34</definedName>
    <definedName name="SI" comment="OPCION SI O NO">#REF!</definedName>
    <definedName name="Vigencias" localSheetId="2">'[1]Datos Generales'!$H$38:$H$45</definedName>
    <definedName name="Vigencias">'Datos Generales'!$H$38:$H$45</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T210" i="43" l="1"/>
  <c r="Q186" i="43"/>
  <c r="T177" i="43"/>
  <c r="Q177" i="43"/>
  <c r="T165" i="43"/>
  <c r="Q165" i="43"/>
  <c r="Q156" i="43"/>
  <c r="Q141" i="43"/>
  <c r="Q134" i="43"/>
  <c r="Q129" i="43"/>
  <c r="T120" i="43"/>
  <c r="Q120" i="43"/>
  <c r="Q115" i="43"/>
  <c r="T105" i="43"/>
  <c r="Q105" i="43"/>
  <c r="T90" i="43"/>
  <c r="Q90" i="43"/>
  <c r="T86" i="43"/>
  <c r="Q86" i="43"/>
  <c r="T79" i="43"/>
  <c r="Q79" i="43"/>
  <c r="T72" i="43"/>
  <c r="Q72" i="43"/>
  <c r="T69" i="43"/>
  <c r="Q69" i="43"/>
  <c r="T59" i="43"/>
  <c r="Q59" i="43"/>
  <c r="T51" i="43"/>
  <c r="Q51" i="43"/>
  <c r="T35" i="43"/>
  <c r="Q35" i="43"/>
  <c r="T30" i="43"/>
  <c r="Q30" i="43"/>
  <c r="T13" i="43"/>
  <c r="Q13" i="43"/>
  <c r="T8" i="43"/>
  <c r="Q8" i="43"/>
  <c r="T134" i="43"/>
  <c r="L203" i="43" l="1"/>
  <c r="L201" i="43" l="1"/>
  <c r="M201" i="43" s="1"/>
  <c r="L192" i="43"/>
  <c r="L191" i="43"/>
  <c r="M191" i="43" s="1"/>
  <c r="L190" i="43"/>
  <c r="M190" i="43" s="1"/>
  <c r="M192" i="43"/>
  <c r="M203" i="43"/>
  <c r="L189" i="43"/>
  <c r="M189" i="43" s="1"/>
  <c r="H187" i="43"/>
  <c r="H188" i="43"/>
  <c r="H189" i="43"/>
  <c r="H190" i="43"/>
  <c r="H191" i="43"/>
  <c r="H192" i="43"/>
  <c r="H193" i="43"/>
  <c r="H194" i="43"/>
  <c r="H195" i="43"/>
  <c r="H196" i="43"/>
  <c r="H197" i="43"/>
  <c r="H198" i="43"/>
  <c r="H199" i="43"/>
  <c r="H200" i="43"/>
  <c r="H201" i="43"/>
  <c r="H202" i="43"/>
  <c r="H203" i="43"/>
  <c r="H204" i="43"/>
  <c r="H205" i="43"/>
  <c r="H206" i="43"/>
  <c r="H207" i="43"/>
  <c r="H208" i="43"/>
  <c r="H209" i="43"/>
  <c r="H186" i="43"/>
  <c r="H180" i="43"/>
  <c r="H181" i="43"/>
  <c r="H182" i="43"/>
  <c r="H184" i="43"/>
  <c r="L178" i="43"/>
  <c r="L166" i="43"/>
  <c r="L168" i="43"/>
  <c r="L169" i="43"/>
  <c r="L170" i="43"/>
  <c r="L171" i="43"/>
  <c r="L172" i="43"/>
  <c r="L173" i="43"/>
  <c r="L174" i="43"/>
  <c r="M174" i="43" s="1"/>
  <c r="H173" i="43"/>
  <c r="M166" i="43"/>
  <c r="H169" i="43"/>
  <c r="H170" i="43"/>
  <c r="H171" i="43"/>
  <c r="H172" i="43"/>
  <c r="H174" i="43"/>
  <c r="H165" i="43"/>
  <c r="H167" i="43"/>
  <c r="H158" i="43"/>
  <c r="H159" i="43"/>
  <c r="H160" i="43"/>
  <c r="H161" i="43"/>
  <c r="H162" i="43"/>
  <c r="H163" i="43"/>
  <c r="H156" i="43"/>
  <c r="H157" i="43"/>
  <c r="L148" i="43"/>
  <c r="H131" i="43"/>
  <c r="H132" i="43"/>
  <c r="L116" i="43"/>
  <c r="L118" i="43"/>
  <c r="H118" i="43"/>
  <c r="L103" i="43" l="1"/>
  <c r="L96" i="43"/>
  <c r="H99" i="43"/>
  <c r="L36" i="43" l="1"/>
  <c r="L14" i="43" l="1"/>
  <c r="L13" i="43"/>
  <c r="L156" i="43" l="1"/>
  <c r="M156" i="43" s="1"/>
  <c r="M118" i="43" l="1"/>
  <c r="L52" i="43"/>
  <c r="H19" i="43"/>
  <c r="H141" i="43" l="1"/>
  <c r="L125" i="43"/>
  <c r="O8" i="43"/>
  <c r="L186" i="43"/>
  <c r="M186" i="43" s="1"/>
  <c r="L187" i="43"/>
  <c r="M187" i="43" s="1"/>
  <c r="L193" i="43"/>
  <c r="M193" i="43" s="1"/>
  <c r="L194" i="43"/>
  <c r="K194" i="43"/>
  <c r="L195" i="43"/>
  <c r="M195" i="43" s="1"/>
  <c r="L196" i="43"/>
  <c r="M196" i="43" s="1"/>
  <c r="L197" i="43"/>
  <c r="M197" i="43" s="1"/>
  <c r="L198" i="43"/>
  <c r="M198" i="43" s="1"/>
  <c r="L199" i="43"/>
  <c r="K199" i="43"/>
  <c r="L200" i="43"/>
  <c r="M200" i="43" s="1"/>
  <c r="L202" i="43"/>
  <c r="M202" i="43" s="1"/>
  <c r="L204" i="43"/>
  <c r="K204" i="43"/>
  <c r="L205" i="43"/>
  <c r="K205" i="43"/>
  <c r="L206" i="43"/>
  <c r="K206" i="43"/>
  <c r="L207" i="43"/>
  <c r="K207" i="43"/>
  <c r="L208" i="43"/>
  <c r="K208" i="43"/>
  <c r="L209" i="43"/>
  <c r="M209" i="43" s="1"/>
  <c r="L177" i="43"/>
  <c r="M177" i="43" s="1"/>
  <c r="M178" i="43"/>
  <c r="L179" i="43"/>
  <c r="M179" i="43" s="1"/>
  <c r="L180" i="43"/>
  <c r="M180" i="43" s="1"/>
  <c r="L181" i="43"/>
  <c r="M181" i="43" s="1"/>
  <c r="L182" i="43"/>
  <c r="M182" i="43" s="1"/>
  <c r="M183" i="43"/>
  <c r="L184" i="43"/>
  <c r="M184" i="43" s="1"/>
  <c r="L165" i="43"/>
  <c r="M165" i="43" s="1"/>
  <c r="M167" i="43"/>
  <c r="M168" i="43"/>
  <c r="M169" i="43"/>
  <c r="M170" i="43"/>
  <c r="M171" i="43"/>
  <c r="M172" i="43"/>
  <c r="M173" i="43"/>
  <c r="L175" i="43"/>
  <c r="M175" i="43" s="1"/>
  <c r="L157" i="43"/>
  <c r="M157" i="43" s="1"/>
  <c r="L158" i="43"/>
  <c r="M158" i="43" s="1"/>
  <c r="L159" i="43"/>
  <c r="M159" i="43" s="1"/>
  <c r="L160" i="43"/>
  <c r="M160" i="43" s="1"/>
  <c r="L161" i="43"/>
  <c r="M161" i="43" s="1"/>
  <c r="L162" i="43"/>
  <c r="M162" i="43" s="1"/>
  <c r="L163" i="43"/>
  <c r="M163" i="43" s="1"/>
  <c r="L141" i="43"/>
  <c r="L142" i="43"/>
  <c r="L143" i="43"/>
  <c r="M143" i="43" s="1"/>
  <c r="L144" i="43"/>
  <c r="M144" i="43" s="1"/>
  <c r="L145" i="43"/>
  <c r="M145" i="43" s="1"/>
  <c r="L146" i="43"/>
  <c r="M146" i="43" s="1"/>
  <c r="L147" i="43"/>
  <c r="M147" i="43" s="1"/>
  <c r="M148" i="43"/>
  <c r="L149" i="43"/>
  <c r="M149" i="43"/>
  <c r="L150" i="43"/>
  <c r="M150" i="43" s="1"/>
  <c r="L151" i="43"/>
  <c r="M151" i="43"/>
  <c r="L152" i="43"/>
  <c r="M152" i="43" s="1"/>
  <c r="L153" i="43"/>
  <c r="M153" i="43" s="1"/>
  <c r="L154" i="43"/>
  <c r="M154" i="43" s="1"/>
  <c r="L134" i="43"/>
  <c r="K134" i="43"/>
  <c r="L135" i="43"/>
  <c r="M135" i="43" s="1"/>
  <c r="L136" i="43"/>
  <c r="K136" i="43"/>
  <c r="L137" i="43"/>
  <c r="M137" i="43" s="1"/>
  <c r="L138" i="43"/>
  <c r="M138" i="43" s="1"/>
  <c r="K138" i="43"/>
  <c r="L129" i="43"/>
  <c r="M129" i="43" s="1"/>
  <c r="L130" i="43"/>
  <c r="M130" i="43" s="1"/>
  <c r="K131" i="43"/>
  <c r="M131" i="43" s="1"/>
  <c r="L132" i="43"/>
  <c r="M132" i="43" s="1"/>
  <c r="K120" i="43"/>
  <c r="M120" i="43" s="1"/>
  <c r="L121" i="43"/>
  <c r="M121" i="43" s="1"/>
  <c r="L122" i="43"/>
  <c r="M122" i="43" s="1"/>
  <c r="L123" i="43"/>
  <c r="M123" i="43" s="1"/>
  <c r="L124" i="43"/>
  <c r="M124" i="43" s="1"/>
  <c r="K125" i="43"/>
  <c r="K126" i="43"/>
  <c r="M126" i="43" s="1"/>
  <c r="K127" i="43"/>
  <c r="M127" i="43" s="1"/>
  <c r="K115" i="43"/>
  <c r="M115" i="43" s="1"/>
  <c r="M116" i="43"/>
  <c r="L117" i="43"/>
  <c r="M117" i="43" s="1"/>
  <c r="K117" i="43"/>
  <c r="L105" i="43"/>
  <c r="M105" i="43" s="1"/>
  <c r="L106" i="43"/>
  <c r="M106" i="43" s="1"/>
  <c r="L107" i="43"/>
  <c r="M107" i="43" s="1"/>
  <c r="L108" i="43"/>
  <c r="M108" i="43" s="1"/>
  <c r="L109" i="43"/>
  <c r="M109" i="43"/>
  <c r="L110" i="43"/>
  <c r="M110" i="43" s="1"/>
  <c r="L111" i="43"/>
  <c r="M111" i="43"/>
  <c r="L112" i="43"/>
  <c r="M112" i="43" s="1"/>
  <c r="L90" i="43"/>
  <c r="M90" i="43"/>
  <c r="L91" i="43"/>
  <c r="M91" i="43" s="1"/>
  <c r="L92" i="43"/>
  <c r="M92" i="43" s="1"/>
  <c r="L93" i="43"/>
  <c r="M93" i="43" s="1"/>
  <c r="L94" i="43"/>
  <c r="M94" i="43"/>
  <c r="L95" i="43"/>
  <c r="M95" i="43" s="1"/>
  <c r="M96" i="43"/>
  <c r="L97" i="43"/>
  <c r="M97" i="43" s="1"/>
  <c r="L98" i="43"/>
  <c r="M98" i="43" s="1"/>
  <c r="L99" i="43"/>
  <c r="M99" i="43" s="1"/>
  <c r="L100" i="43"/>
  <c r="M100" i="43" s="1"/>
  <c r="L101" i="43"/>
  <c r="M101" i="43" s="1"/>
  <c r="L102" i="43"/>
  <c r="M102" i="43" s="1"/>
  <c r="M103" i="43"/>
  <c r="L86" i="43"/>
  <c r="M86" i="43"/>
  <c r="L87" i="43"/>
  <c r="M87" i="43" s="1"/>
  <c r="L88" i="43"/>
  <c r="M88" i="43"/>
  <c r="L79" i="43"/>
  <c r="M79" i="43" s="1"/>
  <c r="L80" i="43"/>
  <c r="M80" i="43"/>
  <c r="L81" i="43"/>
  <c r="M81" i="43" s="1"/>
  <c r="L82" i="43"/>
  <c r="M82" i="43" s="1"/>
  <c r="L83" i="43"/>
  <c r="M83" i="43" s="1"/>
  <c r="L84" i="43"/>
  <c r="M84" i="43" s="1"/>
  <c r="L72" i="43"/>
  <c r="M72" i="43" s="1"/>
  <c r="L73" i="43"/>
  <c r="M73" i="43"/>
  <c r="L74" i="43"/>
  <c r="M74" i="43" s="1"/>
  <c r="L75" i="43"/>
  <c r="M75" i="43" s="1"/>
  <c r="L76" i="43"/>
  <c r="M76" i="43" s="1"/>
  <c r="L69" i="43"/>
  <c r="M69" i="43"/>
  <c r="L70" i="43"/>
  <c r="M70" i="43" s="1"/>
  <c r="M59" i="43"/>
  <c r="L60" i="43"/>
  <c r="M60" i="43" s="1"/>
  <c r="L61" i="43"/>
  <c r="M61" i="43" s="1"/>
  <c r="L62" i="43"/>
  <c r="M62" i="43" s="1"/>
  <c r="L63" i="43"/>
  <c r="M63" i="43" s="1"/>
  <c r="L64" i="43"/>
  <c r="M64" i="43" s="1"/>
  <c r="L65" i="43"/>
  <c r="M65" i="43" s="1"/>
  <c r="L66" i="43"/>
  <c r="M66" i="43" s="1"/>
  <c r="L67" i="43"/>
  <c r="M67" i="43" s="1"/>
  <c r="M51" i="43"/>
  <c r="M52" i="43"/>
  <c r="L53" i="43"/>
  <c r="M54" i="43"/>
  <c r="L55" i="43"/>
  <c r="M55" i="43"/>
  <c r="L56" i="43"/>
  <c r="L57" i="43"/>
  <c r="L35" i="43"/>
  <c r="M35" i="43"/>
  <c r="M36" i="43"/>
  <c r="L37" i="43"/>
  <c r="L38" i="43"/>
  <c r="L39" i="43"/>
  <c r="M39" i="43"/>
  <c r="L40" i="43"/>
  <c r="M40" i="43" s="1"/>
  <c r="L41" i="43"/>
  <c r="M41" i="43"/>
  <c r="L42" i="43"/>
  <c r="M42" i="43" s="1"/>
  <c r="L43" i="43"/>
  <c r="M43" i="43"/>
  <c r="L44" i="43"/>
  <c r="M44" i="43" s="1"/>
  <c r="L45" i="43"/>
  <c r="M45" i="43" s="1"/>
  <c r="L46" i="43"/>
  <c r="M46" i="43" s="1"/>
  <c r="L47" i="43"/>
  <c r="M47" i="43"/>
  <c r="L48" i="43"/>
  <c r="M48" i="43" s="1"/>
  <c r="L30" i="43"/>
  <c r="M30" i="43"/>
  <c r="L31" i="43"/>
  <c r="M31" i="43" s="1"/>
  <c r="L32" i="43"/>
  <c r="M32" i="43" s="1"/>
  <c r="L33" i="43"/>
  <c r="M33" i="43" s="1"/>
  <c r="M13" i="43"/>
  <c r="M14" i="43"/>
  <c r="L15" i="43"/>
  <c r="M15" i="43"/>
  <c r="H16" i="43"/>
  <c r="J16" i="43" s="1"/>
  <c r="L17" i="43"/>
  <c r="M17" i="43" s="1"/>
  <c r="L18" i="43"/>
  <c r="M18" i="43" s="1"/>
  <c r="L19" i="43"/>
  <c r="M19" i="43" s="1"/>
  <c r="L20" i="43"/>
  <c r="M20" i="43" s="1"/>
  <c r="L21" i="43"/>
  <c r="M21" i="43" s="1"/>
  <c r="L22" i="43"/>
  <c r="M22" i="43" s="1"/>
  <c r="L23" i="43"/>
  <c r="M23" i="43" s="1"/>
  <c r="L24" i="43"/>
  <c r="M24" i="43" s="1"/>
  <c r="L25" i="43"/>
  <c r="M25" i="43" s="1"/>
  <c r="L26" i="43"/>
  <c r="M26" i="43" s="1"/>
  <c r="L27" i="43"/>
  <c r="M27" i="43" s="1"/>
  <c r="L28" i="43"/>
  <c r="M28" i="43" s="1"/>
  <c r="L8" i="43"/>
  <c r="M8" i="43" s="1"/>
  <c r="L9" i="43"/>
  <c r="M9" i="43" s="1"/>
  <c r="L10" i="43"/>
  <c r="M10" i="43" s="1"/>
  <c r="L11" i="43"/>
  <c r="M11" i="43" s="1"/>
  <c r="H143" i="43"/>
  <c r="H103" i="43"/>
  <c r="J103" i="43" s="1"/>
  <c r="H178" i="43"/>
  <c r="H122" i="43"/>
  <c r="J122" i="43" s="1"/>
  <c r="H9" i="43"/>
  <c r="J9" i="43" s="1"/>
  <c r="H8" i="43"/>
  <c r="H154" i="43"/>
  <c r="T186" i="43"/>
  <c r="T141" i="43"/>
  <c r="T115" i="43"/>
  <c r="R8" i="43"/>
  <c r="R210" i="43" s="1"/>
  <c r="J54" i="43"/>
  <c r="J144" i="43"/>
  <c r="J209" i="43"/>
  <c r="J194" i="43"/>
  <c r="J195" i="43"/>
  <c r="J196" i="43"/>
  <c r="J190" i="43"/>
  <c r="J191" i="43"/>
  <c r="P210" i="43"/>
  <c r="Y208" i="43"/>
  <c r="X208" i="43"/>
  <c r="Y207" i="43"/>
  <c r="X207" i="43"/>
  <c r="J207" i="43"/>
  <c r="Y206" i="43"/>
  <c r="X206" i="43"/>
  <c r="Y205" i="43"/>
  <c r="X205" i="43"/>
  <c r="J205" i="43"/>
  <c r="Y204" i="43"/>
  <c r="X204" i="43"/>
  <c r="J204" i="43"/>
  <c r="Y203" i="43"/>
  <c r="X203" i="43"/>
  <c r="J203" i="43"/>
  <c r="Y202" i="43"/>
  <c r="X202" i="43"/>
  <c r="Y201" i="43"/>
  <c r="X201" i="43"/>
  <c r="J201" i="43"/>
  <c r="Y200" i="43"/>
  <c r="X200" i="43"/>
  <c r="J200" i="43"/>
  <c r="Y199" i="43"/>
  <c r="X199" i="43"/>
  <c r="Y198" i="43"/>
  <c r="X198" i="43"/>
  <c r="J198" i="43"/>
  <c r="Y197" i="43"/>
  <c r="X197" i="43"/>
  <c r="J197" i="43"/>
  <c r="Y195" i="43"/>
  <c r="X195" i="43"/>
  <c r="Y194" i="43"/>
  <c r="X194" i="43"/>
  <c r="Y193" i="43"/>
  <c r="X193" i="43"/>
  <c r="J193" i="43"/>
  <c r="Y190" i="43"/>
  <c r="X190" i="43"/>
  <c r="Y189" i="43"/>
  <c r="X189" i="43"/>
  <c r="J189" i="43"/>
  <c r="Y188" i="43"/>
  <c r="X188" i="43"/>
  <c r="J188" i="43"/>
  <c r="Y186" i="43"/>
  <c r="X186" i="43"/>
  <c r="J186" i="43"/>
  <c r="Y185" i="43"/>
  <c r="X185" i="43"/>
  <c r="Y184" i="43"/>
  <c r="X184" i="43"/>
  <c r="J184" i="43"/>
  <c r="J183" i="43"/>
  <c r="Y182" i="43"/>
  <c r="X182" i="43"/>
  <c r="J182" i="43"/>
  <c r="Y181" i="43"/>
  <c r="X181" i="43"/>
  <c r="Y180" i="43"/>
  <c r="X180" i="43"/>
  <c r="J180" i="43"/>
  <c r="Y179" i="43"/>
  <c r="X179" i="43"/>
  <c r="H179" i="43"/>
  <c r="J179" i="43"/>
  <c r="Y178" i="43"/>
  <c r="X178" i="43"/>
  <c r="Y177" i="43"/>
  <c r="X177" i="43"/>
  <c r="H177" i="43"/>
  <c r="J177" i="43"/>
  <c r="Y176" i="43"/>
  <c r="X176" i="43"/>
  <c r="Y175" i="43"/>
  <c r="X175" i="43"/>
  <c r="J175" i="43"/>
  <c r="Y174" i="43"/>
  <c r="X174" i="43"/>
  <c r="J174" i="43"/>
  <c r="Y173" i="43"/>
  <c r="X173" i="43"/>
  <c r="J173" i="43"/>
  <c r="Y172" i="43"/>
  <c r="X172" i="43"/>
  <c r="J172" i="43"/>
  <c r="Y171" i="43"/>
  <c r="X171" i="43"/>
  <c r="Y170" i="43"/>
  <c r="X170" i="43"/>
  <c r="Y169" i="43"/>
  <c r="X169" i="43"/>
  <c r="Y168" i="43"/>
  <c r="X168" i="43"/>
  <c r="H168" i="43"/>
  <c r="Y167" i="43"/>
  <c r="X167" i="43"/>
  <c r="J167" i="43"/>
  <c r="Y166" i="43"/>
  <c r="X166" i="43"/>
  <c r="J166" i="43"/>
  <c r="Y165" i="43"/>
  <c r="X165" i="43"/>
  <c r="J165" i="43"/>
  <c r="Y164" i="43"/>
  <c r="X164" i="43"/>
  <c r="Y163" i="43"/>
  <c r="X163" i="43"/>
  <c r="J163" i="43"/>
  <c r="Y162" i="43"/>
  <c r="X162" i="43"/>
  <c r="J162" i="43"/>
  <c r="Y161" i="43"/>
  <c r="X161" i="43"/>
  <c r="J161" i="43"/>
  <c r="Y160" i="43"/>
  <c r="X160" i="43"/>
  <c r="J160" i="43"/>
  <c r="Y159" i="43"/>
  <c r="X159" i="43"/>
  <c r="Y158" i="43"/>
  <c r="X158" i="43"/>
  <c r="J158" i="43"/>
  <c r="Y157" i="43"/>
  <c r="X157" i="43"/>
  <c r="Y156" i="43"/>
  <c r="X156" i="43"/>
  <c r="T156" i="43"/>
  <c r="J156" i="43"/>
  <c r="Y155" i="43"/>
  <c r="X155" i="43"/>
  <c r="Y154" i="43"/>
  <c r="X154" i="43"/>
  <c r="J154" i="43"/>
  <c r="Y153" i="43"/>
  <c r="X153" i="43"/>
  <c r="H153" i="43"/>
  <c r="Y152" i="43"/>
  <c r="X152" i="43"/>
  <c r="H152" i="43"/>
  <c r="Y151" i="43"/>
  <c r="X151" i="43"/>
  <c r="H151" i="43"/>
  <c r="Y150" i="43"/>
  <c r="X150" i="43"/>
  <c r="J150" i="43"/>
  <c r="Y149" i="43"/>
  <c r="X149" i="43"/>
  <c r="H149" i="43"/>
  <c r="Y148" i="43"/>
  <c r="X148" i="43"/>
  <c r="H148" i="43"/>
  <c r="Y147" i="43"/>
  <c r="X147" i="43"/>
  <c r="H147" i="43"/>
  <c r="Y146" i="43"/>
  <c r="X146" i="43"/>
  <c r="H146" i="43"/>
  <c r="Y145" i="43"/>
  <c r="X145" i="43"/>
  <c r="J145" i="43"/>
  <c r="Y144" i="43"/>
  <c r="X144" i="43"/>
  <c r="Y143" i="43"/>
  <c r="X143" i="43"/>
  <c r="J143" i="43"/>
  <c r="Y142" i="43"/>
  <c r="X142" i="43"/>
  <c r="H142" i="43"/>
  <c r="Y141" i="43"/>
  <c r="X141" i="43"/>
  <c r="J141" i="43"/>
  <c r="Y138" i="43"/>
  <c r="X138" i="43"/>
  <c r="J138" i="43"/>
  <c r="Y137" i="43"/>
  <c r="X137" i="43"/>
  <c r="J137" i="43"/>
  <c r="Y136" i="43"/>
  <c r="X136" i="43"/>
  <c r="J136" i="43"/>
  <c r="Y135" i="43"/>
  <c r="X135" i="43"/>
  <c r="J135" i="43"/>
  <c r="Y134" i="43"/>
  <c r="X134" i="43"/>
  <c r="J134" i="43"/>
  <c r="Y133" i="43"/>
  <c r="X133" i="43"/>
  <c r="Y132" i="43"/>
  <c r="X132" i="43"/>
  <c r="J132" i="43"/>
  <c r="Y131" i="43"/>
  <c r="X131" i="43"/>
  <c r="J131" i="43"/>
  <c r="Y130" i="43"/>
  <c r="X130" i="43"/>
  <c r="H130" i="43"/>
  <c r="Y129" i="43"/>
  <c r="X129" i="43"/>
  <c r="H129" i="43"/>
  <c r="Y128" i="43"/>
  <c r="X128" i="43"/>
  <c r="Y127" i="43"/>
  <c r="X127" i="43"/>
  <c r="J127" i="43"/>
  <c r="Y126" i="43"/>
  <c r="X126" i="43"/>
  <c r="H126" i="43"/>
  <c r="J126" i="43"/>
  <c r="Y125" i="43"/>
  <c r="X125" i="43"/>
  <c r="H125" i="43"/>
  <c r="J125" i="43"/>
  <c r="Y124" i="43"/>
  <c r="X124" i="43"/>
  <c r="J124" i="43"/>
  <c r="Y123" i="43"/>
  <c r="X123" i="43"/>
  <c r="J123" i="43"/>
  <c r="Y122" i="43"/>
  <c r="X122" i="43"/>
  <c r="Y121" i="43"/>
  <c r="X121" i="43"/>
  <c r="H121" i="43"/>
  <c r="Y120" i="43"/>
  <c r="X120" i="43"/>
  <c r="J120" i="43"/>
  <c r="Y119" i="43"/>
  <c r="X119" i="43"/>
  <c r="J118" i="43"/>
  <c r="Y117" i="43"/>
  <c r="X117" i="43"/>
  <c r="H117" i="43"/>
  <c r="J117" i="43"/>
  <c r="Y116" i="43"/>
  <c r="X116" i="43"/>
  <c r="H116" i="43"/>
  <c r="Y115" i="43"/>
  <c r="X115" i="43"/>
  <c r="J115" i="43"/>
  <c r="Y114" i="43"/>
  <c r="X114" i="43"/>
  <c r="Y112" i="43"/>
  <c r="X112" i="43"/>
  <c r="H112" i="43"/>
  <c r="J112" i="43"/>
  <c r="Y111" i="43"/>
  <c r="X111" i="43"/>
  <c r="H111" i="43"/>
  <c r="J111" i="43" s="1"/>
  <c r="Y110" i="43"/>
  <c r="X110" i="43"/>
  <c r="H110" i="43"/>
  <c r="J110" i="43" s="1"/>
  <c r="Y109" i="43"/>
  <c r="X109" i="43"/>
  <c r="H109" i="43"/>
  <c r="J109" i="43"/>
  <c r="Y108" i="43"/>
  <c r="X108" i="43"/>
  <c r="H108" i="43"/>
  <c r="J108" i="43"/>
  <c r="Y107" i="43"/>
  <c r="X107" i="43"/>
  <c r="H107" i="43"/>
  <c r="J107" i="43"/>
  <c r="H106" i="43"/>
  <c r="Y105" i="43"/>
  <c r="X105" i="43"/>
  <c r="H105" i="43"/>
  <c r="J105" i="43"/>
  <c r="Y104" i="43"/>
  <c r="X104" i="43"/>
  <c r="Y103" i="43"/>
  <c r="X103" i="43"/>
  <c r="Y102" i="43"/>
  <c r="X102" i="43"/>
  <c r="H102" i="43"/>
  <c r="J102" i="43"/>
  <c r="Y101" i="43"/>
  <c r="X101" i="43"/>
  <c r="H101" i="43"/>
  <c r="J101" i="43"/>
  <c r="Y100" i="43"/>
  <c r="X100" i="43"/>
  <c r="H100" i="43"/>
  <c r="J100" i="43" s="1"/>
  <c r="Y99" i="43"/>
  <c r="X99" i="43"/>
  <c r="J99" i="43"/>
  <c r="Y98" i="43"/>
  <c r="X98" i="43"/>
  <c r="H98" i="43"/>
  <c r="J98" i="43" s="1"/>
  <c r="Y97" i="43"/>
  <c r="X97" i="43"/>
  <c r="H97" i="43"/>
  <c r="J97" i="43"/>
  <c r="Y96" i="43"/>
  <c r="X96" i="43"/>
  <c r="J96" i="43"/>
  <c r="Y95" i="43"/>
  <c r="X95" i="43"/>
  <c r="H95" i="43"/>
  <c r="Y94" i="43"/>
  <c r="X94" i="43"/>
  <c r="H94" i="43"/>
  <c r="H93" i="43"/>
  <c r="J93" i="43" s="1"/>
  <c r="Y92" i="43"/>
  <c r="X92" i="43"/>
  <c r="H92" i="43"/>
  <c r="J92" i="43" s="1"/>
  <c r="Y91" i="43"/>
  <c r="X91" i="43"/>
  <c r="J91" i="43"/>
  <c r="Y90" i="43"/>
  <c r="X90" i="43"/>
  <c r="H90" i="43"/>
  <c r="J90" i="43" s="1"/>
  <c r="Y89" i="43"/>
  <c r="X89" i="43"/>
  <c r="Y88" i="43"/>
  <c r="X88" i="43"/>
  <c r="J88" i="43"/>
  <c r="Y87" i="43"/>
  <c r="X87" i="43"/>
  <c r="H87" i="43"/>
  <c r="Y86" i="43"/>
  <c r="X86" i="43"/>
  <c r="H86" i="43"/>
  <c r="Y85" i="43"/>
  <c r="X85" i="43"/>
  <c r="Y84" i="43"/>
  <c r="X84" i="43"/>
  <c r="H84" i="43"/>
  <c r="J84" i="43" s="1"/>
  <c r="Y83" i="43"/>
  <c r="X83" i="43"/>
  <c r="H83" i="43"/>
  <c r="J83" i="43"/>
  <c r="Y82" i="43"/>
  <c r="X82" i="43"/>
  <c r="H82" i="43"/>
  <c r="J82" i="43"/>
  <c r="Y81" i="43"/>
  <c r="X81" i="43"/>
  <c r="H81" i="43"/>
  <c r="J81" i="43" s="1"/>
  <c r="Y80" i="43"/>
  <c r="X80" i="43"/>
  <c r="H80" i="43"/>
  <c r="J80" i="43" s="1"/>
  <c r="Y79" i="43"/>
  <c r="X79" i="43"/>
  <c r="J79" i="43"/>
  <c r="Y76" i="43"/>
  <c r="X76" i="43"/>
  <c r="H76" i="43"/>
  <c r="J76" i="43" s="1"/>
  <c r="Y75" i="43"/>
  <c r="X75" i="43"/>
  <c r="H75" i="43"/>
  <c r="J75" i="43" s="1"/>
  <c r="Y74" i="43"/>
  <c r="X74" i="43"/>
  <c r="H74" i="43"/>
  <c r="J74" i="43"/>
  <c r="Y73" i="43"/>
  <c r="X73" i="43"/>
  <c r="H73" i="43"/>
  <c r="J73" i="43"/>
  <c r="Y72" i="43"/>
  <c r="X72" i="43"/>
  <c r="H72" i="43"/>
  <c r="Y71" i="43"/>
  <c r="X71" i="43"/>
  <c r="Y70" i="43"/>
  <c r="X70" i="43"/>
  <c r="H70" i="43"/>
  <c r="J70" i="43" s="1"/>
  <c r="Y69" i="43"/>
  <c r="X69" i="43"/>
  <c r="H69" i="43"/>
  <c r="J69" i="43"/>
  <c r="Y68" i="43"/>
  <c r="X68" i="43"/>
  <c r="Y67" i="43"/>
  <c r="X67" i="43"/>
  <c r="J67" i="43"/>
  <c r="Y66" i="43"/>
  <c r="X66" i="43"/>
  <c r="H66" i="43"/>
  <c r="Y65" i="43"/>
  <c r="X65" i="43"/>
  <c r="H65" i="43"/>
  <c r="Y64" i="43"/>
  <c r="X64" i="43"/>
  <c r="H64" i="43"/>
  <c r="Y63" i="43"/>
  <c r="X63" i="43"/>
  <c r="H63" i="43"/>
  <c r="Y62" i="43"/>
  <c r="X62" i="43"/>
  <c r="H62" i="43"/>
  <c r="Y61" i="43"/>
  <c r="X61" i="43"/>
  <c r="H61" i="43"/>
  <c r="Y60" i="43"/>
  <c r="X60" i="43"/>
  <c r="J60" i="43"/>
  <c r="Y59" i="43"/>
  <c r="X59" i="43"/>
  <c r="J59" i="43"/>
  <c r="Y58" i="43"/>
  <c r="X58" i="43"/>
  <c r="Y57" i="43"/>
  <c r="X57" i="43"/>
  <c r="J57" i="43"/>
  <c r="Y56" i="43"/>
  <c r="X56" i="43"/>
  <c r="H56" i="43"/>
  <c r="Y55" i="43"/>
  <c r="X55" i="43"/>
  <c r="Y54" i="43"/>
  <c r="X54" i="43"/>
  <c r="Y53" i="43"/>
  <c r="X53" i="43"/>
  <c r="J53" i="43"/>
  <c r="Y52" i="43"/>
  <c r="X52" i="43"/>
  <c r="H52" i="43"/>
  <c r="Y51" i="43"/>
  <c r="X51" i="43"/>
  <c r="J51" i="43"/>
  <c r="Y48" i="43"/>
  <c r="X48" i="43"/>
  <c r="H48" i="43"/>
  <c r="J48" i="43" s="1"/>
  <c r="Y47" i="43"/>
  <c r="X47" i="43"/>
  <c r="H47" i="43"/>
  <c r="J47" i="43" s="1"/>
  <c r="Y46" i="43"/>
  <c r="X46" i="43"/>
  <c r="H46" i="43"/>
  <c r="J46" i="43" s="1"/>
  <c r="Y45" i="43"/>
  <c r="X45" i="43"/>
  <c r="H45" i="43"/>
  <c r="J45" i="43" s="1"/>
  <c r="Y44" i="43"/>
  <c r="X44" i="43"/>
  <c r="H44" i="43"/>
  <c r="J44" i="43" s="1"/>
  <c r="Y43" i="43"/>
  <c r="X43" i="43"/>
  <c r="H43" i="43"/>
  <c r="J43" i="43" s="1"/>
  <c r="Y42" i="43"/>
  <c r="X42" i="43"/>
  <c r="H42" i="43"/>
  <c r="J42" i="43" s="1"/>
  <c r="Y41" i="43"/>
  <c r="X41" i="43"/>
  <c r="H41" i="43"/>
  <c r="J41" i="43" s="1"/>
  <c r="Y40" i="43"/>
  <c r="X40" i="43"/>
  <c r="H40" i="43"/>
  <c r="J40" i="43" s="1"/>
  <c r="Y39" i="43"/>
  <c r="X39" i="43"/>
  <c r="H39" i="43"/>
  <c r="Y38" i="43"/>
  <c r="X38" i="43"/>
  <c r="H38" i="43"/>
  <c r="Y37" i="43"/>
  <c r="X37" i="43"/>
  <c r="H37" i="43"/>
  <c r="Y36" i="43"/>
  <c r="X36" i="43"/>
  <c r="H36" i="43"/>
  <c r="Y35" i="43"/>
  <c r="X35" i="43"/>
  <c r="H35" i="43"/>
  <c r="Y34" i="43"/>
  <c r="X34" i="43"/>
  <c r="Y33" i="43"/>
  <c r="X33" i="43"/>
  <c r="J33" i="43"/>
  <c r="H33" i="43"/>
  <c r="Y32" i="43"/>
  <c r="X32" i="43"/>
  <c r="J32" i="43"/>
  <c r="H32" i="43"/>
  <c r="Y31" i="43"/>
  <c r="X31" i="43"/>
  <c r="J31" i="43"/>
  <c r="H31" i="43"/>
  <c r="Y30" i="43"/>
  <c r="X30" i="43"/>
  <c r="J30" i="43"/>
  <c r="H30" i="43"/>
  <c r="Y29" i="43"/>
  <c r="X29" i="43"/>
  <c r="Y28" i="43"/>
  <c r="X28" i="43"/>
  <c r="H28" i="43"/>
  <c r="Y27" i="43"/>
  <c r="X27" i="43"/>
  <c r="J27" i="43"/>
  <c r="Y26" i="43"/>
  <c r="X26" i="43"/>
  <c r="H26" i="43"/>
  <c r="Y25" i="43"/>
  <c r="X25" i="43"/>
  <c r="H25" i="43"/>
  <c r="Y24" i="43"/>
  <c r="X24" i="43"/>
  <c r="H24" i="43"/>
  <c r="Y23" i="43"/>
  <c r="X23" i="43"/>
  <c r="H23" i="43"/>
  <c r="Y22" i="43"/>
  <c r="X22" i="43"/>
  <c r="H22" i="43"/>
  <c r="Y21" i="43"/>
  <c r="X21" i="43"/>
  <c r="H21" i="43"/>
  <c r="Y20" i="43"/>
  <c r="X20" i="43"/>
  <c r="H20" i="43"/>
  <c r="Y19" i="43"/>
  <c r="X19" i="43"/>
  <c r="J19" i="43"/>
  <c r="Y18" i="43"/>
  <c r="X18" i="43"/>
  <c r="H18" i="43"/>
  <c r="Y17" i="43"/>
  <c r="X17" i="43"/>
  <c r="H17" i="43"/>
  <c r="Y16" i="43"/>
  <c r="X16" i="43"/>
  <c r="Y15" i="43"/>
  <c r="X15" i="43"/>
  <c r="J15" i="43"/>
  <c r="Y14" i="43"/>
  <c r="X14" i="43"/>
  <c r="J14" i="43"/>
  <c r="Y13" i="43"/>
  <c r="X13" i="43"/>
  <c r="H13" i="43"/>
  <c r="Y12" i="43"/>
  <c r="X12" i="43"/>
  <c r="Y11" i="43"/>
  <c r="X11" i="43"/>
  <c r="J11" i="43"/>
  <c r="Y10" i="43"/>
  <c r="X10" i="43"/>
  <c r="J10" i="43"/>
  <c r="Y9" i="43"/>
  <c r="X9" i="43"/>
  <c r="Y8" i="43"/>
  <c r="J8" i="43"/>
  <c r="T129" i="43"/>
  <c r="X8" i="43"/>
  <c r="W141" i="43"/>
  <c r="J159" i="43"/>
  <c r="O210" i="43"/>
  <c r="S210" i="43"/>
  <c r="Z51" i="43" l="1"/>
  <c r="W8" i="43"/>
  <c r="W51" i="43"/>
  <c r="M194" i="43"/>
  <c r="M210" i="43" s="1"/>
  <c r="W114" i="43"/>
  <c r="M134" i="43"/>
  <c r="M125" i="43"/>
  <c r="Z114" i="43"/>
  <c r="Z8" i="43"/>
  <c r="W79" i="43"/>
  <c r="Z141" i="43"/>
  <c r="M207" i="43"/>
  <c r="M205" i="43"/>
  <c r="Z79" i="43"/>
  <c r="M136" i="43"/>
  <c r="M208" i="43"/>
  <c r="M206" i="43"/>
  <c r="M204" i="43"/>
  <c r="M199" i="43"/>
  <c r="Q210" i="43"/>
  <c r="H210" i="43"/>
  <c r="J52" i="43"/>
  <c r="J13" i="43"/>
  <c r="J28" i="43"/>
  <c r="J36" i="43"/>
  <c r="J37" i="43"/>
  <c r="J38" i="43"/>
  <c r="J39" i="43"/>
  <c r="J116" i="43"/>
  <c r="J129" i="43"/>
  <c r="J130" i="43"/>
  <c r="J168" i="43"/>
  <c r="J169" i="43"/>
  <c r="J170" i="43"/>
  <c r="J171" i="43"/>
  <c r="J178" i="43"/>
  <c r="J202" i="43"/>
  <c r="J20" i="43"/>
  <c r="J21" i="43"/>
  <c r="J22" i="43"/>
  <c r="J23" i="43"/>
  <c r="J24" i="43"/>
  <c r="J25" i="43"/>
  <c r="J26" i="43"/>
  <c r="J55" i="43"/>
  <c r="J56" i="43"/>
  <c r="J86" i="43"/>
  <c r="J94" i="43"/>
  <c r="J95" i="43"/>
  <c r="J106" i="43"/>
  <c r="J151" i="43"/>
  <c r="J152" i="43"/>
  <c r="J153" i="43"/>
  <c r="J208" i="43"/>
  <c r="L16" i="43"/>
  <c r="M16" i="43" s="1"/>
  <c r="J17" i="43"/>
  <c r="J18" i="43"/>
  <c r="J35" i="43"/>
  <c r="J61" i="43"/>
  <c r="J62" i="43"/>
  <c r="J63" i="43"/>
  <c r="J64" i="43"/>
  <c r="J65" i="43"/>
  <c r="J66" i="43"/>
  <c r="J72" i="43"/>
  <c r="J87" i="43"/>
  <c r="J121" i="43"/>
  <c r="J142" i="43"/>
  <c r="J146" i="43"/>
  <c r="J147" i="43"/>
  <c r="J148" i="43"/>
  <c r="J149" i="43"/>
  <c r="J157" i="43"/>
  <c r="J181" i="43"/>
  <c r="J187" i="43"/>
  <c r="J199" i="43"/>
  <c r="J206" i="43"/>
</calcChain>
</file>

<file path=xl/comments1.xml><?xml version="1.0" encoding="utf-8"?>
<comments xmlns="http://schemas.openxmlformats.org/spreadsheetml/2006/main">
  <authors>
    <author>Elizabeth</author>
  </authors>
  <commentList>
    <comment ref="F67" authorId="0" shapeId="0">
      <text>
        <r>
          <rPr>
            <b/>
            <sz val="9"/>
            <color indexed="81"/>
            <rFont val="Tahoma"/>
            <family val="2"/>
          </rPr>
          <t>Elizabeth:</t>
        </r>
        <r>
          <rPr>
            <sz val="9"/>
            <color indexed="81"/>
            <rFont val="Tahoma"/>
            <family val="2"/>
          </rPr>
          <t xml:space="preserve">
</t>
        </r>
        <r>
          <rPr>
            <b/>
            <sz val="9"/>
            <color indexed="81"/>
            <rFont val="Tahoma"/>
            <family val="2"/>
          </rPr>
          <t>Ojo,</t>
        </r>
        <r>
          <rPr>
            <sz val="9"/>
            <color indexed="81"/>
            <rFont val="Tahoma"/>
            <family val="2"/>
          </rPr>
          <t xml:space="preserve"> la meta del plan son 26 y para cada año se programaron 26, para un total de 104</t>
        </r>
      </text>
    </comment>
  </commentList>
</comments>
</file>

<file path=xl/sharedStrings.xml><?xml version="1.0" encoding="utf-8"?>
<sst xmlns="http://schemas.openxmlformats.org/spreadsheetml/2006/main" count="972" uniqueCount="799">
  <si>
    <t>Dependencia</t>
  </si>
  <si>
    <t>Cargo</t>
  </si>
  <si>
    <t>Correo electrónico</t>
  </si>
  <si>
    <t>Teléfono</t>
  </si>
  <si>
    <t>Plan</t>
  </si>
  <si>
    <t>TOTAL</t>
  </si>
  <si>
    <t>Porcentaje de sectores con acompañamiento para la reconversión hacia sistemas sostenibles de producción</t>
  </si>
  <si>
    <t>Porcentaje</t>
  </si>
  <si>
    <t>Nombre de la Corporación</t>
  </si>
  <si>
    <t>Corporación Autónoma Regional del Alto Magdalena - CAM</t>
  </si>
  <si>
    <t>Corporación Autónoma Regional de Cundinamarca – CAR</t>
  </si>
  <si>
    <t>Corporación Autónoma Regional del Canal del Dique – CARDIQUE</t>
  </si>
  <si>
    <t>Corporación Autónoma Regional de Sucre – CARSUCRE</t>
  </si>
  <si>
    <t>Corporación Autónoma Regional de Santander – CAS</t>
  </si>
  <si>
    <t>Corporación para el Desarrollo Sostenible del Norte y el Oriente Amazónico – CDA</t>
  </si>
  <si>
    <t>Corporación Autónoma Regional para la Defensa de la Meseta de Bucaramanga – CDMB</t>
  </si>
  <si>
    <t>Corporación Autónoma Regional para el Desarrollo Sostenible del Chocó – CODECHOCÓ</t>
  </si>
  <si>
    <t>Corporación para el Desarrollo Sostenible del Archipiélago de San Andrés, Providencia y Santa Catalina – CORALINA</t>
  </si>
  <si>
    <t>Corporación Autónoma Regional del Centro de Antioquia – CORANTIOQUIA</t>
  </si>
  <si>
    <t>Corporación para el Desarrollo Sostenible del Área de Manejo Especial de La Macarena – CORMACARENA</t>
  </si>
  <si>
    <t>Corporación Autónoma Regional de las Cuencas de los Ríos Negro y Nare – CORNARE</t>
  </si>
  <si>
    <t>Corporación Autónoma Regional del Magdalena – CORPAMAG</t>
  </si>
  <si>
    <t>Corporación para el Desarrollo Sostenible del Sur de la Amazonia – CORPOAMAZONIA</t>
  </si>
  <si>
    <t>Corporación Autónoma Regional de Boyacá – CORPOBOYACÁ</t>
  </si>
  <si>
    <t>Corporación Autónoma Regional de Caldas – CORPOCALDAS</t>
  </si>
  <si>
    <t>Corporación Autónoma Regional del Cesar – CORPOCESAR</t>
  </si>
  <si>
    <t>Corporación Autónoma Regional de Chivor – CORPOCHIVOR</t>
  </si>
  <si>
    <t>Corporación Autónoma Regional de La Guajira – CORPOGUAJIRA</t>
  </si>
  <si>
    <t>Corporación Autónoma Regional del Guavio – CORPOGUAVIO</t>
  </si>
  <si>
    <t>Corporación para el Desarrollo Sostenible de La Mojana y El San Jorge – CORPOMOJANA</t>
  </si>
  <si>
    <t>Corporación Autónoma Regional de Nariño – CORPONARIÑO</t>
  </si>
  <si>
    <t>Corporación Autónoma Regional de la Frontera Nororiental – CORPONOR</t>
  </si>
  <si>
    <t>Corporación Autónoma Regional de la Orinoquia – CORPORINOQUIA</t>
  </si>
  <si>
    <t>Corporación para el Desarrollo Sostenible del Urabá – CORPOURABA</t>
  </si>
  <si>
    <t>Corporación Autónoma Regional del Tolima – CORTOLIMA</t>
  </si>
  <si>
    <t>Corporación Autónoma Regional del Atlántico – CRA</t>
  </si>
  <si>
    <t>Corporación Autónoma Regional del Cauca – CRC</t>
  </si>
  <si>
    <t>Corporación Autónoma Regional del Quindío – CRQ</t>
  </si>
  <si>
    <t>Corporación Autónoma Regional del Sur de Bolívar – CSB</t>
  </si>
  <si>
    <t>Corporación Autónoma Regional del Valle del Cauca – CVC</t>
  </si>
  <si>
    <t>Corporación Autónoma Regional de los Valles del Sinú y del San Jorge – CVS</t>
  </si>
  <si>
    <t>2016-I</t>
  </si>
  <si>
    <t>2016-II</t>
  </si>
  <si>
    <t>2017-I</t>
  </si>
  <si>
    <t>2017-II</t>
  </si>
  <si>
    <t>2018-I</t>
  </si>
  <si>
    <t>2018-II</t>
  </si>
  <si>
    <t>2019-I</t>
  </si>
  <si>
    <t>2019-II</t>
  </si>
  <si>
    <t>Periodo a reportar</t>
  </si>
  <si>
    <t>Nombre de la persona responsable del reporte</t>
  </si>
  <si>
    <t>ANEXOS INFORME DE SEGUIMIENTO AL PLAN DE ACCIÓN 2016-2019</t>
  </si>
  <si>
    <t>Acuerdos de crecimiento verde con los sectores productivos de la economía</t>
  </si>
  <si>
    <t>%</t>
  </si>
  <si>
    <t>(18) TOTAL METAS FISICAS Y FINANCIERAS*</t>
  </si>
  <si>
    <t>Control y seguimiento al 100 % de los procesos sancionatorios, medidas preventivas y multas</t>
  </si>
  <si>
    <t>Quejas con seguimiento/Quejas atendidas</t>
  </si>
  <si>
    <t>% de quejas y contravenciones atendidas</t>
  </si>
  <si>
    <t>Atención del 100% de las quejas y/o infracciones ambientales en los tiempos establecidos</t>
  </si>
  <si>
    <t>Fortalecimiento técnico y logístico a la atención de Quejas, Denuncias y contravenciones Ambientales y su control y seguimiento</t>
  </si>
  <si>
    <t>Acompañamiento al 100% de actividades relacionadas con minería ilegal en conjunto con Autoridades policivas y Municipios</t>
  </si>
  <si>
    <t>Acompañamiento a actividades relacionadas con minería ilegal  en conjunto con Autoridades y Municipios.</t>
  </si>
  <si>
    <t>Nro. de acciones realizadas/Nro. de acciones programadas</t>
  </si>
  <si>
    <t>% de Avance</t>
  </si>
  <si>
    <t xml:space="preserve">Implementación y Seguimiento a la aplicación de la Resolución 631 de 2015. </t>
  </si>
  <si>
    <t xml:space="preserve">
% de Programas de Uso Eficiente y Ahorro del Agua (PUEAA) con seguimiento 
</t>
  </si>
  <si>
    <t>% de Planes de Saneamiento y Manejo de Vertimientos (PSMV) con seguimiento</t>
  </si>
  <si>
    <t>% de autorizaciones ambientales con seguimiento (No. de autorizaciones con seguimiento realizadas/No. de acciones programadas)</t>
  </si>
  <si>
    <t>Fortalecimiento técnico y logístico  al Control y Seguimiento  del uso y aprovechamiento de los Recursos Naturales</t>
  </si>
  <si>
    <t>% Avance de la Estrategia de Legalización</t>
  </si>
  <si>
    <t xml:space="preserve">Diseño y Aplicación de una estrategia de legalidad en el uso y aprovechamiento de los Recursos Naturales </t>
  </si>
  <si>
    <t>% de cuerpos de agua con reglamentación del uso de las aguas  (No de corrientes reglamentadas/  Nro. corrientes programadas)</t>
  </si>
  <si>
    <t>Reglamentación de dos (2) corrientes de agua priorizadas</t>
  </si>
  <si>
    <t>Atención oportuna y eficiente de trámites para el uso de los Recursos Naturales (licencias ambientales, permisos, concesiones, autorizaciones)</t>
  </si>
  <si>
    <t>Fortalecimiento Técnico y logístico para Administración de los Recursos Naturales</t>
  </si>
  <si>
    <t xml:space="preserve">PROGRAMA 5: Administración , Control y Vigilancia de los Recursos Naturales 
RESPONSABLE: Líder proceso Autoridad Ambiental </t>
  </si>
  <si>
    <t>OBJETIVO PROGRAMA 5: Ejercer de manera oportuna las funciones de Autoridad Ambiental para el uso y/o aprovechamiento de los Recursos Naturales.</t>
  </si>
  <si>
    <t>Empresas</t>
  </si>
  <si>
    <t>Nº empresas con seguimiento/Nº empresas Previstas</t>
  </si>
  <si>
    <t xml:space="preserve">Formulación y seguimiento de estrategias resultantes del modelo de  dispersión. (Contribución y apoyo a las acciones desarrolladas en materia de Cambio Climático y Objetivos del Desarrollo Sostenible). </t>
  </si>
  <si>
    <t>Gestión público-privada para la mitigación de la  contaminación de fuentes fijas y dispersas en la jurisdicción de Cornare</t>
  </si>
  <si>
    <t>Operativos</t>
  </si>
  <si>
    <t>Nº operativos anualizadas realizados/Nº  operativos anualizados programados</t>
  </si>
  <si>
    <t xml:space="preserve"> Control anual de emisiones a fuentes móviles en la región.</t>
  </si>
  <si>
    <t>Plan de Capacitación</t>
  </si>
  <si>
    <t>% Avance del plan de capacitación</t>
  </si>
  <si>
    <t>Formulación y Desarrollo de un plan anual de capacitación y transferencia de la información y/o aplicación normativa en el control de la contaminación atmosférica. (Incluye ruido, olores, fuentes móviles, fijas y dispersas.)</t>
  </si>
  <si>
    <t>Actividades</t>
  </si>
  <si>
    <t>N° actividades de coordinación realizadas/N° actividades programadas</t>
  </si>
  <si>
    <t xml:space="preserve">Gestión interinstitucional para la formulación de lineamientos y ajustes normativos en materia de calidad del aire en la región. (Mesa Regional de Calidad del Aire, Red Aire) </t>
  </si>
  <si>
    <t>Inventario</t>
  </si>
  <si>
    <t>% Avance en la realización del inventario</t>
  </si>
  <si>
    <t>Realización del inventario de emisiones por fuentes fijas y móviles y su alimentación en el modelo de dispersión de contaminantes atmosféricos en la región</t>
  </si>
  <si>
    <t>Campaña</t>
  </si>
  <si>
    <t>Nº campañas anualizadas realizadas/Nº  campañas anualizadas programadas</t>
  </si>
  <si>
    <t>Prevención, control y Monitoreo de la Calidad del Aire en la Región</t>
  </si>
  <si>
    <t>PROGRAMA 4: Gestión integral del recurso aire
RESPONSABLE: Coordinadora Grupo Aire</t>
  </si>
  <si>
    <t xml:space="preserve">OBJETIVO PROGRAMA 4:  Fortalecer los mecanismos y herramientas para prevenir y minimizar la generación de emisiones contaminantes en la atmósfera. </t>
  </si>
  <si>
    <t>No parámetros implementados/ número parámetros proyectados</t>
  </si>
  <si>
    <t>Ampliación del servicio de análisis incluyendo los parámetros requeridos en la Resolución 0631 de 2015, que a la fecha no son ofrecidos por el Laboratorio de La Corporación</t>
  </si>
  <si>
    <t>Contratos ejecutados / Contratos proyectados</t>
  </si>
  <si>
    <t xml:space="preserve">% de cumplimiento de operación y funcionamiento del laboratorio
</t>
  </si>
  <si>
    <t>Cumplimiento de la norma ISO 17025 en la operación y funcionamiento de laboratorio ambiental de CORNARE (Prestación de servicios de análisis a diferentes grupos de interés)</t>
  </si>
  <si>
    <t>95% recaudo</t>
  </si>
  <si>
    <t>% de avance en el recaudo de las tasas</t>
  </si>
  <si>
    <t>Continuidad en la aplicación de los instrumentos económicos  tasas por uso (TXU) y tasas retributivas (TR).</t>
  </si>
  <si>
    <t>Corriente monitoreada</t>
  </si>
  <si>
    <t xml:space="preserve">% de avance </t>
  </si>
  <si>
    <t xml:space="preserve">Monitoreo de la calidad en siete (7) cuencas y dos (2) tramos de cuencas principales de la región </t>
  </si>
  <si>
    <t xml:space="preserve">Proyecto ejecutado </t>
  </si>
  <si>
    <t xml:space="preserve">
% de avance </t>
  </si>
  <si>
    <t>Implementación y Seguimiento al Plan de Ordenamiento del Recurso Hídrico PORH</t>
  </si>
  <si>
    <t xml:space="preserve">% avance </t>
  </si>
  <si>
    <t>Fortalecimiento del Sistema de Información del Recurso Hídrico-SIRH. (Decreto 303 de 2012)</t>
  </si>
  <si>
    <t>Implementación del Plan de mantenimiento y actualización del conocimiento de la oferta hídrica superficial de la Región</t>
  </si>
  <si>
    <t>Ampliación y consolidación del conocimiento de la  Oferta, la Demanda y la Calidad del Recurso hídrico 
de la Región</t>
  </si>
  <si>
    <t>Ejecución de un programa de infraestructura de saneamiento rural, a través de la construcción de 7500 sistemas de tratamiento de aguas residuales domésticas (STAR).</t>
  </si>
  <si>
    <t>Mejoramiento de la Calidad del Recurso Hídrico a través de la Ejecución de Proyectos de Saneamiento Urbanos y Rurales.</t>
  </si>
  <si>
    <t>PROGRAMA 3: Gestión Integral del Recurso Hídrico
RESPONSABLE: coordinadora Grupo Recurso Hídrico</t>
  </si>
  <si>
    <t>OBJETIVO PROGRAMA 3: Adelantar los instrumentos, mecanismos y herramientas apropiadas para la conservación y recuperación de la oferta del recurso hídrica tanto en cantidad como de calidad, de tal forma que se constituya en un soporte confiable y equilibrado del desarrollo socio económico de la región.</t>
  </si>
  <si>
    <t xml:space="preserve">No </t>
  </si>
  <si>
    <t>N° de SILAP con apoyo Técnico y Jurídico</t>
  </si>
  <si>
    <t>Apoyo a la implementación de 3 Sistemas Locales de Áreas Protegidas SILAP</t>
  </si>
  <si>
    <t>N° de RNSC con apoyo para su declaración/N° de reservas propuestas</t>
  </si>
  <si>
    <t>Gestión y Apoyo a las iniciativas privadas de conservación de Ecosistemas</t>
  </si>
  <si>
    <t xml:space="preserve">% de implementación del Plan </t>
  </si>
  <si>
    <t>Articulación y Apoyo a la implementación del Plan de Acción del Sistema Departamental de Áreas Protegidas SIDAP</t>
  </si>
  <si>
    <t>% Áreas Protegidas con plan de monitoreo</t>
  </si>
  <si>
    <t>Plan de Monitoreo de Áreas Protegidas</t>
  </si>
  <si>
    <t>% Áreas protegidas con Planes de manejo en ejecución</t>
  </si>
  <si>
    <t xml:space="preserve"> 10 Áreas protegidas declaradas con Planes de Manejo en ejecución.</t>
  </si>
  <si>
    <t>Plan de Manejo</t>
  </si>
  <si>
    <t>Planes de manejo elaborados y/o actualizados</t>
  </si>
  <si>
    <t>% de Páramos delimitados, con zonificación y  régimen de usos adoptados</t>
  </si>
  <si>
    <t>Zonificación y régimen de uso del Páramo de Sonsón</t>
  </si>
  <si>
    <t>Hectárea</t>
  </si>
  <si>
    <t>Administración Manejo de Áreas Protegidas y Ecosistemas estratégicos</t>
  </si>
  <si>
    <t>PROGRAMA 2: Sistema de Áreas Protegidas
RESPONSABLE: Coordinadora Grupo Bosques y Biodiversidad</t>
  </si>
  <si>
    <t>OBJETIVO PROGRAMA 2 : Mejorar las condiciones de la diversidad biológica en la región, salvaguardando los ecosistemas, las especies y diversidad genética</t>
  </si>
  <si>
    <t>% de avance</t>
  </si>
  <si>
    <t>Gestión técnico - administrativa para la Implementación de la tasa por aprovechamiento forestal</t>
  </si>
  <si>
    <t>% de implementación</t>
  </si>
  <si>
    <t>Desarrollo metodológico para la compensación por pérdida de biodiversidad a través de sistemas de información geográfica.</t>
  </si>
  <si>
    <t>Instrumentos económicos y mecanismos para la conservación de ecosistemas</t>
  </si>
  <si>
    <t>Control y Manejo de Especies invasoras de Flora y Fauna en la región y PM para su control (Hipopótamos, Ojo de poeta, entre otras.)</t>
  </si>
  <si>
    <t>% de implementación Plan de Monitoreo</t>
  </si>
  <si>
    <t>Diseño e implementación de un plan de Monitoreo de Flora y Fauna Silvestre (Resolución 1609 de 2015)  (Especies liberadas, entre otras.)</t>
  </si>
  <si>
    <t>No de inventarios realizados</t>
  </si>
  <si>
    <t xml:space="preserve">% de especies amenazadas con medidas de conservación y manejo en ejecución
</t>
  </si>
  <si>
    <t>Conservación y Recuperación de la Fauna y Flora Silvestre</t>
  </si>
  <si>
    <t>Repoblamiento</t>
  </si>
  <si>
    <t>N° de repoblamientos adelantados/N° de repoblamientos proyectados/</t>
  </si>
  <si>
    <t>Hectáreas</t>
  </si>
  <si>
    <t>Hectáreas monitoreadas y/o con mantenimiento / Hectáreas programados</t>
  </si>
  <si>
    <t>Elaboración Línea Base Humedales Valles de San Nicolás</t>
  </si>
  <si>
    <t>Conservación y Recuperación de Humedales</t>
  </si>
  <si>
    <t>% de áreas de ecosistemas en restauración, rehabilitación y reforestación.
Hectáreas restauradas año/hectáreas propuestas año</t>
  </si>
  <si>
    <t>Restauración, Conservación y Manejo de Ecosistemas Boscosos</t>
  </si>
  <si>
    <t>PROGRAMA 1: Gestión integral de la biodiversidad
RESPONSABLE: Coordinadora Grupo Bosques y Biodiversidad</t>
  </si>
  <si>
    <t>OBJETIVO PROGRAMA 1: Conservar y asegurar el uso sostenible del capital natural de la Región, a través de la conservación de la diversidad biológica, la reducción de la deforestación y la restauración de los ecosistemas.</t>
  </si>
  <si>
    <t>LINEA ESTRATÉGICA 5. GESTIÓN INTEGRAL DE LOS RECURSOS NATURALES Y AUTORIDAD AMBIENTAL</t>
  </si>
  <si>
    <t>negocios</t>
  </si>
  <si>
    <t>No de Negocios Verdes promovidos / No de negocios verdes programados</t>
  </si>
  <si>
    <t xml:space="preserve">Promoción de (2) negocios verdes en el sector pecuario </t>
  </si>
  <si>
    <t>iniciativas</t>
  </si>
  <si>
    <t>No. de iniciativas fortalecidas/ No de iniciativas programadas</t>
  </si>
  <si>
    <t>Ventanilla implementada</t>
  </si>
  <si>
    <t xml:space="preserve"> Implementación al 100% de la ventanilla de negocios verdes para el Oriente Antioqueño</t>
  </si>
  <si>
    <t xml:space="preserve">Promoción de la política nacional de negocios verdes en la región </t>
  </si>
  <si>
    <t>No. de iniciativas fortalecidas / No total de iniciativas programadas</t>
  </si>
  <si>
    <t>No. de destinos fortalecidos / No. total de destinos programados</t>
  </si>
  <si>
    <t xml:space="preserve"> Fortalecer (25) destinos eco turísticos.</t>
  </si>
  <si>
    <t>Promoción e impulso del turismo sostenible en la Región</t>
  </si>
  <si>
    <t>PROGRAMA 4: NEGOCIOS VERDES
RESPONSABLE: Jefe Oficina Crecimiento Verde y Cambio Climático</t>
  </si>
  <si>
    <t>OBJETIVO PROGRAMA 4: Promover el emprendimiento con miras a negocios verdes  en la Región del Oriente Antioqueño.</t>
  </si>
  <si>
    <t>No. de Ha conservadas/ No total de Hectáreas programadas</t>
  </si>
  <si>
    <t>Compensación y Conservación con BANCO 2</t>
  </si>
  <si>
    <t xml:space="preserve">PROGRAMA 3: PAGO POR SERVCIOS AMBIENTALES                                                              RESPONSABLE: Jefe Oficina Crecimiento Verde y Cambio Climático </t>
  </si>
  <si>
    <t>OBJETIVO PROGRAMA 3: Compensación y Conservación a través del pago por Servicios Ambientales.</t>
  </si>
  <si>
    <t>No de procesos implementados/ No total de procesos programados</t>
  </si>
  <si>
    <t>Implementación de 3 procesos de Investigación, desarrollo tecnológico e innovación para la implementación de fuentes alternativas de energía ( Biodigestores, Paneles Solares, Energía Eólica, entre otras)</t>
  </si>
  <si>
    <t>municipios</t>
  </si>
  <si>
    <t>No. de Municipios con plan de gestión integral del uso y manejo de plaguicidas implementado/Total de Municipios.</t>
  </si>
  <si>
    <t>Implementación de Buenas Practicas Agrícolas mediante la ejecución de un Plan de gestión integral del uso y manejo de plaguicidas en los 26 municipios</t>
  </si>
  <si>
    <t>Estufa</t>
  </si>
  <si>
    <t>No. estufas eficientes construidas/ No. estufas eficientes programadas</t>
  </si>
  <si>
    <t>Alternativas para la eficiencia energética mediante la construcción de 7000 estufas Eficientes.</t>
  </si>
  <si>
    <t>Proyectos</t>
  </si>
  <si>
    <t>custodios</t>
  </si>
  <si>
    <t>No de custodios fortalecidos/ No total de custodios programados</t>
  </si>
  <si>
    <t>evento</t>
  </si>
  <si>
    <t>No de Eventos realizados/ No total de eventos programados</t>
  </si>
  <si>
    <t>Mitigación y adaptación al Cambio Climático</t>
  </si>
  <si>
    <t>% Acciones</t>
  </si>
  <si>
    <t xml:space="preserve">Participación en la ejecución del plan de acción nodo regional de cambio climático y otras instancias de coordinación y gestión interinstitucional </t>
  </si>
  <si>
    <t>Documento</t>
  </si>
  <si>
    <t>Lineamientos de adaptación y mitigación incorporadas en los instrumentos de planificación (POTs, POMCAS,PGAR, PMA)/ total de municipios</t>
  </si>
  <si>
    <t>Construcción e incorporación de lineamientos de adaptación y mitigación en los instrumentos de planificación ( POTs, POMCAS,PGAR, PMA )</t>
  </si>
  <si>
    <t>Cambio climático en los instrumentos de planificación y participación</t>
  </si>
  <si>
    <t>PROGRAMA 2: CAMBIO CLIMÁTICO
RESPONSABLE: Jefe Oficina Crecimiento Verde y Cambio Climático</t>
  </si>
  <si>
    <t>OBJETIVO PROGRAMA 2: Implementar estrategias de adaptación y mitigación para reducir los Impactos del cambio Climático en el Oriente Antioqueño.</t>
  </si>
  <si>
    <t>Acciones ejecutadas en los acuerdos/Acciones programadas en los acuerdos</t>
  </si>
  <si>
    <t>Suscripción de Acuerdos de crecimiento verde  y Desarrollo compatible con el Clima  con los sectores Primario, secundario  y terciario y ejecución de los planes operativos (uno por año)para cada sector.</t>
  </si>
  <si>
    <t>Acciones ejecutadas del Plan de CV/Acciones programadas del Plan de CV</t>
  </si>
  <si>
    <t>Municipios</t>
  </si>
  <si>
    <t>Municipios con lineamientos de Crecimiento Verde y DCC / 26 municipios</t>
  </si>
  <si>
    <t xml:space="preserve">Transferencia  de lineamientos y seguimiento a la implementación del Plan de Crecimiento Verde y Desarrollo compatible con el Clima  PCVDCC  a los 26 municipios </t>
  </si>
  <si>
    <t>Plan de Crecimiento Verde (CV) y desarrollo compatible con el clima (DCC)</t>
  </si>
  <si>
    <t>PROGRAMA 1: CRECIMIENTO VERDE
RESPONSABLE: Jefe Oficina Crecimiento Verde y Cambio Climático</t>
  </si>
  <si>
    <t>OBJETIVO PROGRAMA 1: Promover un crecimiento sostenible bajo en emisiones de los sectores productivos y los municipios.</t>
  </si>
  <si>
    <t>LINEA ESTRATÉGICA 4. CRECIMIENTO VERDE Y CAMBIO CLIMÁTICO</t>
  </si>
  <si>
    <t>Eventos Atendidos/Solicitudes Allegadas</t>
  </si>
  <si>
    <t>Asistencia técnica a eventos naturales y eventos antrópicos</t>
  </si>
  <si>
    <t>No. de acciones ejecutadas/Total de acciones proyectadas.</t>
  </si>
  <si>
    <t>Formulación, gestión y ejecución de proyectos para el equipamiento y la capacitación enfocados a la prevención y control de incendios forestales</t>
  </si>
  <si>
    <t>Municipio</t>
  </si>
  <si>
    <t>ML Fuentes hídricas intervenidas / ML Fuentes hídricas priorizadas * 100</t>
  </si>
  <si>
    <t>Mitigación y manejo de riesgos y desastres</t>
  </si>
  <si>
    <t>26 municipios con asistencia técnica, transferencia, difusión y administración de la información en gestión de riesgo de desastres a los 26 municipios (Catedra de Gestión del Riesgo, Acompañamiento CMGR, Administración de la información e implementación, seguimiento y monitoreo de alertas)</t>
  </si>
  <si>
    <t>Conocimiento del riesgo para la prevención y gestión</t>
  </si>
  <si>
    <t>PROGRAMA 4:  GESTIÒN DEL RIESGO 
RESPONSABLE: Jefe Oficina Ordenamiento Territorial y Gestión del Riesgo</t>
  </si>
  <si>
    <t>OBJETIVO PROGRAMA 4:  Generar una cultura de la gestión del riesgo de desastres basada en el conocimiento, la mitigación, la reducción y el manejo de ellos, conducente a una intervención consecuente en los procesos de desarrollo de la región.</t>
  </si>
  <si>
    <t>Revisión y actualización de los PGIRESPEL y  PGIRS regionales</t>
  </si>
  <si>
    <t>Programas fortalecidos/Programas pos consumo proyectados</t>
  </si>
  <si>
    <t>Cantidad de residuos sólidos aprovechados/ Cantidad de residuos sólidos generados.</t>
  </si>
  <si>
    <t>Gestión Integral de Residuos Sólidos</t>
  </si>
  <si>
    <t>Documentos</t>
  </si>
  <si>
    <t>Lineamientos formulados</t>
  </si>
  <si>
    <t>Talleres</t>
  </si>
  <si>
    <t>Iniciativas de articulación implementadas / Iniciativas diseñadas o identificadas * 100</t>
  </si>
  <si>
    <t>Fortalecimiento del Ordenamiento Ambiental de la Actividad Minera de los municipios de la región (lineamientos,  potencialidades y restricciones, articulación interinstitucional y capacitación)</t>
  </si>
  <si>
    <t>No</t>
  </si>
  <si>
    <t>Implementación y seguimiento de los instrumentos técnicos y normativos para la consolidación del Ordenamiento Ambiental Regional (Acuerdos Ambientales, CIT, Rondas Hídricas, Actividades Urbanísticas, ICAU)</t>
  </si>
  <si>
    <t>Informe</t>
  </si>
  <si>
    <t>No. de municipios con informe de seguimiento al POT / No de municipios</t>
  </si>
  <si>
    <t>26 Municipios con asistencia técnica y acompañamiento para la inclusión de los determinantes ambientales en los POTs, evaluación y seguimiento  en su aplicación.</t>
  </si>
  <si>
    <t>Fortalecimiento del componente ambiental de los instrumentos de ordenamiento territorial</t>
  </si>
  <si>
    <t>PROGRAMA 3:  ORDENAMIENTO AMBIENTAL REGIONAL 
RESPONSABLE: Jefe Oficina Ordenamiento Territorial y Gestión del Riesgo</t>
  </si>
  <si>
    <t xml:space="preserve">OBJETIVO PROGRAMA 3: Promover procesos de Ordenamiento Territorial soportados en lineamientos ambientales articulados con el desarrollo social y económico de la región y vinculantes con los actores sociales e institucionales, con competencias y responsabilidades en la incorporación de la componente ambiental en los procesos de desarrollo local, regional, departamental y nacional, que conduzcan al crecimiento de las potencialidades y sean respetuosos con las restricciones y condiciones naturales del territorio. </t>
  </si>
  <si>
    <t>Número</t>
  </si>
  <si>
    <t>Entidades articuladas al SIAR/Entidades proyectadas.</t>
  </si>
  <si>
    <t>Sistema de Información Ambiental  Regional articulado   con entidades como el IDEAM, el MADS, la Gobernación de Antioquia, el IGAC y los municipios de la jurisdicción.</t>
  </si>
  <si>
    <t>No de informes publicados/No de informes programados.</t>
  </si>
  <si>
    <t>Administración y reporte del 100% de los indicadores a partir de los instrumentos:
 Sistema de Información del Recurso Hídrico (SIRH), Sistema Nacional de Información Forestal (SNIF), Sistema de Información sobre calidad del Aire (SISAIRE), Sistema de Información sobre Biodiversidad (SIB), Sistema de información de Uso de Recursos Naturales(SIUR), (Gestión, SISA)</t>
  </si>
  <si>
    <t>Módulos desarrollados/módulos programados.</t>
  </si>
  <si>
    <t>Desarrollar 4 nuevos módulos en el sistema de información regional SIAR</t>
  </si>
  <si>
    <t>Sistema de Información Ambiental Regional (SIAR) articulado al Sistema de Información Ambiental de Colombia (SIAC)</t>
  </si>
  <si>
    <t>PROGRAMA 2: SISTEMA DE INFORMACIÓN  AMBIENTAL REGIONAL
RESPONSABLE: Coordinador SIAR - TIC</t>
  </si>
  <si>
    <t>OBJETIVO PROGRAMA 2: Consolidación y mantenimiento del Sistema de Información Geográfica Corporativo.</t>
  </si>
  <si>
    <t>No. de proyectos y convenios Ejecutados / No.  de proyectos y convenios evaluados.</t>
  </si>
  <si>
    <t>Banco de Proyectos</t>
  </si>
  <si>
    <t>No. de Seguimientos realizados/No. de Seguimientos programados</t>
  </si>
  <si>
    <t>Formulación, socialización y seguimiento del Plan de Acción Institucional 2016-2019</t>
  </si>
  <si>
    <t>Seguimiento del Plan de Gestión Ambiental Regional (PGAR) y difusión de los indicadores de ejecución</t>
  </si>
  <si>
    <t>Planificación Ambiental</t>
  </si>
  <si>
    <t>Comisiones Conjuntas y Consejos de Cuenca conformados y fortalecidos/Consejos de cuenca programados</t>
  </si>
  <si>
    <t>8 Comisiones Conjuntas y ocho Consejos de Cuenca conformados y fortalecidos</t>
  </si>
  <si>
    <t>Planes de Ordenación y Manejo de Cuencas (POMCAS) en ejecución/ POMCAS programados.</t>
  </si>
  <si>
    <t>8 Planes de Ordenación y Manejo de Cuencas (POMCAS) en ejecución.</t>
  </si>
  <si>
    <t>Planes de Ordenación y Manejo de Cuencas (POMCAS),  formulados./POMCAS programado.</t>
  </si>
  <si>
    <t>8 Planes de Ordenación y Manejo de Cuencas (POMCAS) formulados.</t>
  </si>
  <si>
    <t>Formulación e implementación de los Planes de Ordenación y Manejo de Cuencas Hidrográficas (POMCAS)</t>
  </si>
  <si>
    <t>PROGRAMA 1:  PLANIFICACIÓN AMBIENTAL
RESPONSABLE: Subdirector General de Planeación</t>
  </si>
  <si>
    <t xml:space="preserve">OBJETIVO PROGRAMA 1: Proveer a la región de Instrumentos de planificación que permitan la administración y uso sostenible de los recursos naturales. </t>
  </si>
  <si>
    <t>LINEA ESTRATÉGICA 3. PLANIFICACIÓN, ORDENAMIENTO AMBIENTAL DEL TERRITORIO Y GESTIÓN DEL RIESGO</t>
  </si>
  <si>
    <t>Procesos de formación y estímulos</t>
  </si>
  <si>
    <t>No. de procesos de formación y estímulo ejecutados/ No. de procesos de formación y estímulo programados.</t>
  </si>
  <si>
    <t>Reconocimiento de las iniciativas ambientales de los medios de comunicación para la gestión ambiental de la región.</t>
  </si>
  <si>
    <t>cumplimiento plan</t>
  </si>
  <si>
    <t>% de cumplimiento del plan de comunicaciones interno corporativo</t>
  </si>
  <si>
    <t>campañas realizadas</t>
  </si>
  <si>
    <t>No. Campañas realizadas / No. Campañas proyectadas</t>
  </si>
  <si>
    <t>Elaboración y aplicación de un Plan de comunicación interna para el mejoramiento de la cultura organizacional.</t>
  </si>
  <si>
    <t>programas y proyectos</t>
  </si>
  <si>
    <t>N° de programas y proyectos difundidos/ N°  programas  y proyectos establecidos.</t>
  </si>
  <si>
    <t>cumplimiento Plan</t>
  </si>
  <si>
    <t>% de cumplimiento del plan de comunicaciones externo corporativo</t>
  </si>
  <si>
    <t>Diseño y Aplicación  de un plan de medios para la difusión y socialización de las estrategias, programas e imagen corporativa.</t>
  </si>
  <si>
    <t>Divulgación y socialización de la gestión ambiental Corporativa.</t>
  </si>
  <si>
    <t>PROGRAMA 4: Comunicación para la gestión ambiental regional
RESPONSABLE: Jefe Oficina Asesora de Comunicaciones</t>
  </si>
  <si>
    <t>OBJETIVO PROGRAMA 4: Fortalecer y maximizar el impacto de las estrategias de divulgación, socialización, educación y sensibilización emprendidas por la Corporación, para contribuir al alcance de los objetivos misionales y del Plan de Acción Institucional 2016-2019, a través del desarrollo de productos comunicativos estratégicos, de la gestión de medios institucionales y de la relación productiva con medios de comunicación regional y departamental, utilizando las diferentes herramientas y tecnologías comunicacionales que permitan una dinámica comunicativa adecuada con los públicos estratégicos de Cornare.</t>
  </si>
  <si>
    <t>EVENTO EJECUTADO</t>
  </si>
  <si>
    <t>No. De eventos Ejecutados/No. de eventos programados.</t>
  </si>
  <si>
    <t>Celebración de 40 eventos de  fomento de la cultura ambiental(Campañas y celebración de días especiales)</t>
  </si>
  <si>
    <t xml:space="preserve"> El Fomento De La Cultura Ambiental y la comunicación institucional con enfoque pedagógico  y la aplicación de los medios y mecanismos de las TICS.</t>
  </si>
  <si>
    <t>CERTAMEN REALIZADO</t>
  </si>
  <si>
    <t>N° de certámenes de las Olimpiadas de la Cultura Ambiental realizadas / N° de Olimpiadas de la Cultura Ambiental proyectadas</t>
  </si>
  <si>
    <t>Participación de instituciones educativas de los 26 municipios  de la región en 3 certámenes de las Olimpiadas de la Cultura Ambiental.</t>
  </si>
  <si>
    <t>Olimpiadas de La Cultura Ambiental</t>
  </si>
  <si>
    <t>PROGRAMA 3: Coordinación y articulación para la construcción de una cultura ambiental
RESPONSABLE: Subdirectora Educación  Ambiental, Participación Social y comunicación</t>
  </si>
  <si>
    <t>OBJETIVO PROGRAMA 3 :Diseñar y aplicar procesos de sensibilización, y cultura ambiental para formar a las comunidades en nuevos conceptos ambientales que les permita asumir una actitud de respeto y responsabilidad por el cuidado de los recursos naturales, con un claro apropiamiento de la diversidad biológica, cultural y sectorial existente en la región, mejorando los procesos de convivencia y reconciliación en el nuevo contexto social del posconflicto.</t>
  </si>
  <si>
    <t>EVENTO REALIZADO</t>
  </si>
  <si>
    <t>No. Eventos Cornare mas cerca realizados /eventos proyectados</t>
  </si>
  <si>
    <t>ENCUENTRO REALIZADO</t>
  </si>
  <si>
    <t>No. encuentros del CIDEA, CODEAM  y CIFFA./Nro. Invitaciones.</t>
  </si>
  <si>
    <t>Participación activa en las  instancias de articulación CIDEA, CODEAM CIFFA para  la gestión institucional ambiental  y social de la región.</t>
  </si>
  <si>
    <t>Articulación y apoyo a la gestión institucional.</t>
  </si>
  <si>
    <t>Inclusión del componente ambiental en el 100% de los proyectos y convenios interinstitucionales</t>
  </si>
  <si>
    <t>Acompañamiento a los componentes de educación participación y comunicación en todos los proyectos corporativos.</t>
  </si>
  <si>
    <t>PROYECTO AMBIENTAL EJECUTADO</t>
  </si>
  <si>
    <t>N° de proyectos ambientales ejecutados por grupos organizados / N° de proyectos ambientales propuesta a ejecutar por grupos organizados.</t>
  </si>
  <si>
    <t>No. de proyectos ambientales ejecutados / No. de proyectos ambientales programados</t>
  </si>
  <si>
    <t>No.  de encuentros realizados/No. Encuentros planeados.</t>
  </si>
  <si>
    <t>Fortalecimiento de grupos organizados y desarrollo de procesos de Presupuesto Participativo en la jurisdicción.</t>
  </si>
  <si>
    <t>Realizar 4 encuentros de la REDCIDEAM del Oriente Antioqueño</t>
  </si>
  <si>
    <t>CIDEAM FORTALECIDO</t>
  </si>
  <si>
    <t>No. de CIDEAM articulados y en funcionamiento /No de CIDEAM proyectados.</t>
  </si>
  <si>
    <t>Fortalecimiento de los 26 CIDEAM de la región CORNARE articulados en la Red de CIDEAM.</t>
  </si>
  <si>
    <t>Acompañamiento  y Fortalecimiento de los CIDEAM y la consolidación de la Red del Oriente Antioqueño, como herramienta de Gestión Ambiental participativa</t>
  </si>
  <si>
    <t>No. De eventos de reconocimiento realizados/No. De eventos proyectados.</t>
  </si>
  <si>
    <t>Reconocimiento, Estímulos y Exaltación de las prácticas para el mejoramiento y control ambiental</t>
  </si>
  <si>
    <t>PROGRAMA 2: Participación Social en la gestión ambiental 
RESPONSABLE: Subdirectora Educación  Ambiental, Participación Social y comunicación</t>
  </si>
  <si>
    <t>OBJETIVO PROGRAMA 2:   Promover y apoyar la construcción de una cultura participativa que conlleve el desarrollo de mecanismos, instrumentos y metodologías para la efectiva vinculación de los actores sociales, comunitarios, eclesiásticos, militares, gremiales e institucionales, con criterios de pluralismo, tolerancia, igualdad, oportunidad, eficiencia y eficacia en las decisiones, acciones y proyectos corporativos ambientales.</t>
  </si>
  <si>
    <t>Nro.</t>
  </si>
  <si>
    <t xml:space="preserve">Apoyo y acompañamiento pedagógico y técnico en la implementación del Comparendo Ambiental en la Jurisdicción. </t>
  </si>
  <si>
    <t>EVENTO DE CAPACITACION</t>
  </si>
  <si>
    <t>No. Eventos de capacitación realizados/No. Eventos educativos proyectados</t>
  </si>
  <si>
    <t>No. De PRAUS Implementados/No. PRAUS propuestos.</t>
  </si>
  <si>
    <t>Implementación y fortalecimiento a  3 proyectos Ambientales Universitarios PRAUS en la región.</t>
  </si>
  <si>
    <t xml:space="preserve">Apoyo a la implementación y fortalecimiento de los Proyectos Ambientales Universitarios "PRAUS" y procesos de formación ambiental </t>
  </si>
  <si>
    <t>No. de procesos educativos virtualizados/ No. de procesos educativos virtualizados proyectados</t>
  </si>
  <si>
    <t xml:space="preserve">Virtualización de contenidos temáticos de educación ambiental para la formación en procesos pedagógicos  corporativos. </t>
  </si>
  <si>
    <t>No. De PRAES implementados/No. De PRAES propuestos.</t>
  </si>
  <si>
    <t xml:space="preserve">No. De Instituciones Educativas Con espacios de aprendizaje implementados/Nro. De Espacios de aprendizaje propuestos.  </t>
  </si>
  <si>
    <t xml:space="preserve">Municipio </t>
  </si>
  <si>
    <t>Catedra de Educación para la Cultura Ambiental</t>
  </si>
  <si>
    <t>PROGRAMA 1: Educación Ambiental
RESPONSABLE: Subdirectora Educación  Ambiental, Participación Social y comunicación</t>
  </si>
  <si>
    <t>LINEA ESTRATÉGICA 2. EDUCACION AMBIENTAL, PARTICIPACION SOCIAL Y COMUNICACIÓN</t>
  </si>
  <si>
    <t>Apoyo a conflictos ambientales</t>
  </si>
  <si>
    <t>No. de conflictos solucionados/ No. de conflictos presentados.</t>
  </si>
  <si>
    <t>No. políticas formuladas/ No. de políticas identificadas</t>
  </si>
  <si>
    <t>Formulación participativa de las políticas públicas, planes y programas institucionales</t>
  </si>
  <si>
    <t>porcentaje</t>
  </si>
  <si>
    <t>No. de grupos de interés atendidos/ No. de grupos de interés identificados</t>
  </si>
  <si>
    <t>Identificación e interacción de grupos de interés para la gestión de la Entidad</t>
  </si>
  <si>
    <t>Participación Ciudadana en la Gestión</t>
  </si>
  <si>
    <t>mecanismo</t>
  </si>
  <si>
    <t>Mecanismos implementados/Mecanismos propuestos</t>
  </si>
  <si>
    <t>Implementar mecanismos y canales de interacción y acceso de los ciudadanos a la oferta institucional de tramites  difusión del Portafolio de Servicios</t>
  </si>
  <si>
    <t>Ventanillas implementadas</t>
  </si>
  <si>
    <t>Ventanillas implementadas y fortalecidas/Total de ventanillas propuestas</t>
  </si>
  <si>
    <t xml:space="preserve">Fortalecimiento Y fortalecimiento de 6 Ventanilla Integral de Servicios </t>
  </si>
  <si>
    <t>Plan de mejoramiento anual</t>
  </si>
  <si>
    <t>acciones realizadas/acciones programadas</t>
  </si>
  <si>
    <t>Análisis y acciones para el mejoramiento de la Trazabilidad y seguimiento en la oportunidad de servicio y mecanismos de participación (Plan de Mejoramiento).</t>
  </si>
  <si>
    <t xml:space="preserve">Respuesta, oportunidad y calidad del Servicio en el cumplimiento de la Misión Ambiental </t>
  </si>
  <si>
    <t>porcentaje de avance</t>
  </si>
  <si>
    <t xml:space="preserve">Modelo implementado </t>
  </si>
  <si>
    <t>Implementación al 100% del modelo de Gestión Pública para la excelencia en el servicio al ciudadano y de buen gobierno Corporativo</t>
  </si>
  <si>
    <t>Medición</t>
  </si>
  <si>
    <t xml:space="preserve">Niveles superiores al 90% en encuesta anual imagen y reputación  </t>
  </si>
  <si>
    <t>grupo caracterizado</t>
  </si>
  <si>
    <t>Grupos de interés relacionados/No. grupos de interés programadas.</t>
  </si>
  <si>
    <t>Identificación necesidades y acciones  de relacionamiento con grupos de interés (Caracterización 5 grupos de interés)</t>
  </si>
  <si>
    <t>Desarrollo Institucional para el Servicio al ciudadano</t>
  </si>
  <si>
    <t>Plan de acción anual</t>
  </si>
  <si>
    <t>No. de acciones del plan de anticorrupción realizadas/No. acciones programadas.</t>
  </si>
  <si>
    <t>Acciones de dialogo</t>
  </si>
  <si>
    <t>No. de acciones realizadas/No. acciones programadas.</t>
  </si>
  <si>
    <t>Transparencia  y acceso a la información Pública (decreto ley 1712)</t>
  </si>
  <si>
    <t>PROGRAMA 4: Transparencia, Participación y Servicio al Ciudadano
RESPONSABLE: Subdirector Servicio al Cliente</t>
  </si>
  <si>
    <t xml:space="preserve">OBJETIVO PROGRAMA 4:  Acercar la Corporación al ciudadano y hacer visible su gestión para la participación activa  en la toma de decisiones y acceso a la información, trámites y servicios, para una atención oportuna y efectiva. </t>
  </si>
  <si>
    <t>No. de actividades realizadas/No. actividades programadas.</t>
  </si>
  <si>
    <t>Programas de bienestar social e incentivos realizados/Programas de bienestar social e incentivos programados</t>
  </si>
  <si>
    <t>No. de capacitaciones efectuadas/ No. de capacitaciones programadas.</t>
  </si>
  <si>
    <t>Formular y ejecutar el 100% Plan Institucional de capacitación PIC</t>
  </si>
  <si>
    <t xml:space="preserve">
Gestión Integral del Talento Humano
</t>
  </si>
  <si>
    <t xml:space="preserve">PROGRAMA 3: Gestión del Talento Humano
RESPONSABLE: Coordinadora Unidad de Gestión Humana y Organizacional </t>
  </si>
  <si>
    <t xml:space="preserve">OBJETIVO PROGRAMA 3:  Gestionar un Talento Humano suficiente y competente para asegurar el cumplimiento de los objetivos y metas institucionales, de conformidad con los fines esenciales del Estado </t>
  </si>
  <si>
    <t>% de avance [N° actividades anuales realizadas/N° actividades anuales  programadas]</t>
  </si>
  <si>
    <t xml:space="preserve">Elaboración y cumplimiento  del plan anual de amoblamiento para las instalaciones de las sedes principal y regionales </t>
  </si>
  <si>
    <t xml:space="preserve">Equipamiento de bienes muebles de las sedes corporativas </t>
  </si>
  <si>
    <t>% avance plan de transformación de sedes ambientalmente amigables (No. actividades ejecutadas/No. actividades identificadas)</t>
  </si>
  <si>
    <t xml:space="preserve">% </t>
  </si>
  <si>
    <t>% de avance [N° actividades anuales ejecutadas/N° actividades anuales programadas)</t>
  </si>
  <si>
    <t>Elaboración y cumplimiento  del programa  de obras  civiles, mantenimiento preventivo y correctivo anualizado de las sedes regionales y la sede principal.</t>
  </si>
  <si>
    <t>Adecuación y Mantenimiento de la infraestructura  física de la Corporación para la transformación en sedes ambientalmente amigables.</t>
  </si>
  <si>
    <t>% de Implementación</t>
  </si>
  <si>
    <t xml:space="preserve">% avance MSPI
(% logrado en la vigencia/% programado en la vigencia) 
</t>
  </si>
  <si>
    <t>Implementación del modelo de seguridad y protección de la información (MSPI)</t>
  </si>
  <si>
    <t>% de  implementación</t>
  </si>
  <si>
    <t xml:space="preserve">% avance plan de ajuste tecnológico
(% logrado en la vigencia/% programado en la vigencia) </t>
  </si>
  <si>
    <t>Formulación e implementación del Plan de Ajuste Tecnológico (Software y Hardware)</t>
  </si>
  <si>
    <t>Gestión de Tecnologías de la Información y las Comunicaciones Tics.</t>
  </si>
  <si>
    <t xml:space="preserve">% de implementación de políticas aplicables a la Corporación
(Meta lograda en la vigencia /Meta demandada en la vigencia)  
</t>
  </si>
  <si>
    <t>Implementación de las políticas para la prevención del daño antijurídico aplicables dadas por el gobierno nacional  en las actuaciones administrativas de la Corporación (Protección de activos, entre otros).</t>
  </si>
  <si>
    <t xml:space="preserve">
% cumplimiento [N° actuaciones ejecutadas/ actuaciones requeridas*100]</t>
  </si>
  <si>
    <t>Fortalecimiento de los mecanismos jurídicos para el desempeño administrativo y de la autoridad Ambiental (transferencia de conocimiento como soporte para  la gestión interna y externa y disponibilidad de la información jurídica en cumplimiento a las políticas de gobierno en línea, legalidad, eficiencia, eficacia, oportunidad y transparencia) .</t>
  </si>
  <si>
    <t>% cumplimiento [N° actuaciones ejecutadas/ actuaciones requeridas*100]</t>
  </si>
  <si>
    <t>Atención oportuna de los requerimiento jurídicos en las actuaciones administrativas (coactivo, contratación, disciplinarios).</t>
  </si>
  <si>
    <t>% cumplimiento oportuno requerimientos actuaciones ambientales
% cumplimiento [N° actuaciones ejecutadas/ actuaciones requeridas*100]</t>
  </si>
  <si>
    <t>Atención oportuna de los requerimientos jurídicos Corporativos en las actuaciones ambientales (quejas, control y seguimiento, sancionatorios, licencias y trámites)</t>
  </si>
  <si>
    <t>Gestión Jurídica</t>
  </si>
  <si>
    <t xml:space="preserve">% implementación instrumentos archivísticos y de Gestión documental (Tablas de Retención Documental TRD, Programa de Gestión Documental PGD, Plan Institucional de Archivos PINAR)
(Meta lograda en la vigencia/meta programada en la vigencia) </t>
  </si>
  <si>
    <t xml:space="preserve">Formulación e implementación del Programa de Gestión Documental conforme con la normatividad </t>
  </si>
  <si>
    <t>Gestión Documental</t>
  </si>
  <si>
    <t>Porcentaje de Actualización SGSST (% logrado en la vigencia / programado en la vigencia)</t>
  </si>
  <si>
    <t xml:space="preserve">Actualización e implementación del Sistema de Seguridad y Salud en el Trabajo-SGSST  (conforme con la normatividad vigente) </t>
  </si>
  <si>
    <t xml:space="preserve">Fortalecimiento del control Interno Corporativo a través de la  asesoría, evaluación y seguimiento a la gestión </t>
  </si>
  <si>
    <t>Estado de implementación del Plan Institucional de Gestión Ambiental (PIGA) (% logrado programas de gestión ambiental / % programado programas de gestión</t>
  </si>
  <si>
    <t>Actualización SGA (% logrado en la vigencia / % programado en la vigencia)</t>
  </si>
  <si>
    <t>Actualización SGC (% logrado en la vigencia / % programado en la vigencia)</t>
  </si>
  <si>
    <t>Cumplimiento  del SGC y MECI (% logrado en la vigencia / % programado)</t>
  </si>
  <si>
    <t>Actualización   y mejoramiento del Sistema de  Gestión de la Calidad-SGC, articulado con el Sistema de Control interno-SCI (Normas Norma Técnico a Colombiana GP 1000, ISO 9001 y MECI 1000) y Actualización del Sistema de Gestión Ambiental-SGA (Norma NTC ISO 14001)</t>
  </si>
  <si>
    <t> Sistema Gestión Integral (calidad, Control Interno, Ambiental, Seguridad y Salud en el Trabajo)</t>
  </si>
  <si>
    <t>PROGRAMA 2: Gestión Administrativa
RESPONSABLE: Coordinadora Sistema de Gestión Integral</t>
  </si>
  <si>
    <t>OBJETIVO PROGRAMA 2:  Fortalecer la gestión de la Corporación y su mejoramiento continuo a través de la gestión integral de los procesos, verificación y control, las tecnologías de la información y las comunicaciones, aplicación de los mecanismos jurídicos y la optimización de los recursos y la logística para la prestación de servicios que respondan a las necesidades y expectativas de los clientes, en concordancia con los lineamientos nacionales en materia de buen gobierno corporativo.</t>
  </si>
  <si>
    <t>Adoptar el nuevo marco normativo para entidades de gobierno para la preparación y presentación de información financiera</t>
  </si>
  <si>
    <t>Implementación del marco normativo para la adopción de normas internacionales de contabilidad del sector público (NICSP)</t>
  </si>
  <si>
    <t>Pesos</t>
  </si>
  <si>
    <t>Lograr recursos internacionales, nacionales y locales por $ 120.000 millones para la cofinanciación de proyectos ambientales</t>
  </si>
  <si>
    <t>Ejecución total del presupuesto de gastos</t>
  </si>
  <si>
    <t>Cobrar y recaudar el presupuesto total de ingresos</t>
  </si>
  <si>
    <t>Ejecución Financiera y presupuestal</t>
  </si>
  <si>
    <t>PROGRAMA 1: Gestión Financiera y presupuestal
RESPONSABLE: Coordinador Unidad Financiera</t>
  </si>
  <si>
    <t>OBJETIVO PROGRAMA 1: Gestionar el recaudo,  la administración y provisión de los recursos financieros, para fortalecer la capacidad administrativa orientada al logro de los objetivos misionales de la Corporación.</t>
  </si>
  <si>
    <t>LINEA ESTRATÉGICA 1. FORTALECIMIENTO DEL DESEMPEÑO FINANCIERO, ADMINISTRATIVO Y DE SERVICIO</t>
  </si>
  <si>
    <t xml:space="preserve">(16)
PORCENTAJE DE  AVANCE FINANCIERO ACUMULADO %
((15/14)*100)
</t>
  </si>
  <si>
    <t>(13)                           PORCENTAJE DEL AVANCE 
FINANCIERO %
(Periodo Evaluado)
((12/11)*100)</t>
  </si>
  <si>
    <t>(11)                          META FINANCIERA ANUAL             ($)</t>
  </si>
  <si>
    <t>(10)               PONDERACIONES DE PROGRAMAS  Y PROYECTOS (OPCIONAL DE ACUERDO AL PLAN DE ACCIÓN)</t>
  </si>
  <si>
    <t xml:space="preserve">(9)
PORCENTAJE DE AVANCE 
FISICO ACUMULADO %
((8/7)*100)
</t>
  </si>
  <si>
    <t>(8)
ACUMULADO DE LA META
FISICA
(Según unidad de medida)</t>
  </si>
  <si>
    <t xml:space="preserve"> (7)                                                    META FISICA DEL PLAN             (Según unidad de medida)</t>
  </si>
  <si>
    <t xml:space="preserve">(5)
PORCENTAJE DE AVANCE 
FISICO %
(Periodo Evaluado)
((4/3)*100)
</t>
  </si>
  <si>
    <t>(4)
AVANCE DE LA META
FISICA  (Según unidad de medida y Periodo Evaluado)</t>
  </si>
  <si>
    <t>(3)                                      META FISICA ANUAL             (Según unidad de medida)</t>
  </si>
  <si>
    <t xml:space="preserve">   (2)                                      UNIDAD DE MEDIDA</t>
  </si>
  <si>
    <t>INDICADORES DE GESTIÓN PLAN DE ACCION 2016-2019</t>
  </si>
  <si>
    <t>(17)
OBSERVACIONES</t>
  </si>
  <si>
    <t>META FINANCIERA                                                                                                  PLAN DE ACCION</t>
  </si>
  <si>
    <t>COMPORTAMIENTO META FISICA 
PLAN DE ACCION</t>
  </si>
  <si>
    <t>METAS</t>
  </si>
  <si>
    <t>PROYECTOS</t>
  </si>
  <si>
    <r>
      <t xml:space="preserve">(1)
PROGRAMAS - PROYECTOS  DEL PLAN DE ACCIÓN 2016-2019 
(inserte filas cuando sea necesario)
</t>
    </r>
    <r>
      <rPr>
        <b/>
        <sz val="10"/>
        <color indexed="10"/>
        <rFont val="Arial Narrow"/>
        <family val="2"/>
      </rPr>
      <t/>
    </r>
  </si>
  <si>
    <t xml:space="preserve">CORPORACIÓN AUTÓNOMA REGIONAL ..........................
MATRIZ DE SEGUIMIENTO DEL PLAN DE ACCIÓN
ANEXO No. 1. AVANCE EN LAS METAS FÍSICAS Y FINANCIERAS DEL PLAN DE ACCIÓN  </t>
  </si>
  <si>
    <t>Juan Fernando Lopez Ocampo</t>
  </si>
  <si>
    <t>Sudirección General de Planeación</t>
  </si>
  <si>
    <t>Subdirector General de Planeación</t>
  </si>
  <si>
    <t>jflopez@cornare.gov.co</t>
  </si>
  <si>
    <t>5461616 ext. 226</t>
  </si>
  <si>
    <t>PROGRAMADO</t>
  </si>
  <si>
    <t>EJECUTADO</t>
  </si>
  <si>
    <t xml:space="preserve">PROGRMADO </t>
  </si>
  <si>
    <t xml:space="preserve">EJECUTADO </t>
  </si>
  <si>
    <t>Modernización y ajustes de la Estructura Organizacional</t>
  </si>
  <si>
    <t>Hectáreas ordenadas/ Hectáreas Programadas.</t>
  </si>
  <si>
    <t>(5-A) DESCRIPCIÓN DEL AVANCE 
(Se puede describir en texto lo que se desea aclarar del avance numérico respectivo)</t>
  </si>
  <si>
    <t>(6)
PORCENTAJE DE AVANCE PROCESO DE GESTION DE LA META
FISICA
(aplica únicamente para el informe del primer semestre)</t>
  </si>
  <si>
    <t>% implementación</t>
  </si>
  <si>
    <t>políticas formuladas</t>
  </si>
  <si>
    <t>institución educativa</t>
  </si>
  <si>
    <t xml:space="preserve">Procesos </t>
  </si>
  <si>
    <t>destinos turísticos</t>
  </si>
  <si>
    <t xml:space="preserve">Parámetros implementados nuevos </t>
  </si>
  <si>
    <t>Realizar 3 eventos de reconocimiento, estímulo y exaltación a los mejores proyectos socio-ambientales o acciones ambientales positivas desarrolladas en la jurisdicción.</t>
  </si>
  <si>
    <t>Cumplimiento de las directrices establecidas en la ley 1712 de 2014 (transparencia y acceso a la información publica) disponibilidad de la información a la ciudadanía</t>
  </si>
  <si>
    <t>% de disponibilidad de información  (información que se debe publicas / información publicada)</t>
  </si>
  <si>
    <t>Implementación del sistema integrado de PQRS y cumplimiento de tiempos y oportunidad</t>
  </si>
  <si>
    <t>Porcentaje de PQRS atendidos dentro de los términos de ley 
(No. PQRS atendidos que cumplen los tiempos de ley / total de PQRS atendidos)</t>
  </si>
  <si>
    <t xml:space="preserve">Implementación Estrategia Racionalización de trámites </t>
  </si>
  <si>
    <t>Implementación de la estrategia</t>
  </si>
  <si>
    <t>Informe anual</t>
  </si>
  <si>
    <t xml:space="preserve">Apoyo en la solución de conflictos ambientales </t>
  </si>
  <si>
    <t>Acompañamiento y fortalecimiento de 100 proyectos ambientales escolares PRAE en la región CORNARE.</t>
  </si>
  <si>
    <t>PRAE Fortalecido</t>
  </si>
  <si>
    <t>Realizar 124 eventos pedagógicos de sensibilización sobre infracciones ambientales.</t>
  </si>
  <si>
    <t>No. De eventos de sensibilización y formación sobre infracciones ambientales/No. De eventos programados</t>
  </si>
  <si>
    <t>PRAU Implementado</t>
  </si>
  <si>
    <t>32 proyectos ambientales ejecutados por Ongs de la región, Asociaciones.</t>
  </si>
  <si>
    <t>No. proyectos con componente educativo ambiental / total de proyectos cofinanciados.</t>
  </si>
  <si>
    <t>Porcentaje de POT y PP atendidos dentro de los términos de ley 
(No. POT y PP atendidos que cumplen los tiempos de ley / total de POT y PP atendidos)</t>
  </si>
  <si>
    <t>IMG667-2016
Porcentaje de municipios asesorados o asistidos en la inclusión del componente ambiental en los procesos de planificación y ordenamiento territorial, con énfasis en la incorporación de las determinantes ambientales para la revisión y ajuste de los POT</t>
  </si>
  <si>
    <t>Mayor 90%</t>
  </si>
  <si>
    <t>Informe de seguimiento anual a la implementación de instrumentos de ordenamiento ambiental regional.</t>
  </si>
  <si>
    <t>Construcción y consolidación de un índice de ordenamiento minero ambiental</t>
  </si>
  <si>
    <t>Apoyo a la conservación y mejoramiento paisajístico (rondas hídricas, parques lineales, espacio publico, entre otros)</t>
  </si>
  <si>
    <t>% avance [N° proyectos Ejecutados/N° proyectos programados*100]</t>
  </si>
  <si>
    <t>% avance</t>
  </si>
  <si>
    <t xml:space="preserve">Fortalecimiento a la recuperación y aprovechamiento de residuos sólidos generados (BOLSAMBIENTE, MIRS-PGIRS, APOYO A LOS RECICLADORES DE OFICIO, RECUPERANDO SUEÑOS Y APOYO AL APROVECHAMIENTO ORGANICO DE RESIDUOS)
</t>
  </si>
  <si>
    <t xml:space="preserve">Fomento y acompañamiento a 7 programas pos consumo </t>
  </si>
  <si>
    <t>Documento PGIRS regional revisado y actualizado acorde con la normativa vigente</t>
  </si>
  <si>
    <t>Documento PGIRESPEL regional revisado y actualizado acorde con la normativa vigente</t>
  </si>
  <si>
    <t xml:space="preserve">Acompañamiento a los municipios en la identificación y/o formulación de los estudios de riesgo de detalle según la normativa vigente. </t>
  </si>
  <si>
    <t xml:space="preserve">N° de municipios con acompañamiento en la identificación o formulación de estudios </t>
  </si>
  <si>
    <t>Municipios con Asistencia Técnica/ Total de municipios * 100</t>
  </si>
  <si>
    <t>Corrientes hídricas con instrumentación de alarmas/ Corrientes priorizadas</t>
  </si>
  <si>
    <t>Implementación de obras para la mitigación del riesgo por erosión y recuperación de la capacidad hidráulica de las quebradas, para reducir la problemática por inundaciones y avenidas torrenciales.</t>
  </si>
  <si>
    <t>Porcentaje de suelos degradados en recuperación o rehabilitación
(Ha recuperadas/Ha por recuperar * 100)
IMGR667-2015</t>
  </si>
  <si>
    <t xml:space="preserve">Formulación, implementación y seguimiento a los planes anuales de contingencia para la mitigación y recuperación de riesgo (incendios forestales, temporada lluvias, temporada seca y eventos por derrames de sustancias y materiales peligrosos). </t>
  </si>
  <si>
    <t>Cuatro planes de contingencia anuales formulados, implementados y en seguimiento</t>
  </si>
  <si>
    <t>Desarrollo del programa progresa (aplicación software, evaluación, acto de reconocimiento)</t>
  </si>
  <si>
    <t xml:space="preserve"> 
No. de jornadas de participación / numero de jornadas convocadas *100 </t>
  </si>
  <si>
    <t>Sostenibilidad al 100% de las familias incorporadas al esquema PSA por tres años.</t>
  </si>
  <si>
    <t>No. e familias compensadas del total de familias incorporadas * 100</t>
  </si>
  <si>
    <t>No. de familias vinculadas</t>
  </si>
  <si>
    <t>Seguimiento del 100% predios compensados para la conservación y restauración</t>
  </si>
  <si>
    <t xml:space="preserve">% de predios con seguimiento / total de predios compensados </t>
  </si>
  <si>
    <t>Ordenación Forestal de 156.000 hectáreas.</t>
  </si>
  <si>
    <t>Cofinanciación de proyectos viables para la adquisición de áreas estratégicas para la conservación del recurso hídrico</t>
  </si>
  <si>
    <t>Proyectos cofinanciados / proyectos viables</t>
  </si>
  <si>
    <t>Atención al 100% de las especies de fauna silvestre que ingresan al hogar de paso</t>
  </si>
  <si>
    <t>% de animales recuperados / animales ingresados</t>
  </si>
  <si>
    <t>No. convenios en ejecución / No. convenios programados * 100</t>
  </si>
  <si>
    <t>Apoyo a la elaboración y/o actualización de 14 estudios y diseños de Planes Maestros de Alcantarillado.</t>
  </si>
  <si>
    <t>N° Estudios y/o diseños elaborados/N° Estudios y/o diseños proyectados*100</t>
  </si>
  <si>
    <t>N° STAR en ejecución /N° STAR proyectados*100</t>
  </si>
  <si>
    <t>Formular e implementar los Planes de Descontaminación por Ruido en 5 municipios de la Jurisdicción con mayor población y/o problemática en materia de Ruido.</t>
  </si>
  <si>
    <t>N de planes formulados / No de planes programados</t>
  </si>
  <si>
    <t>Gestión para la Acreditación en Materia de Medición de Ruido de Emisión y Ambiental de Cornare</t>
  </si>
  <si>
    <t xml:space="preserve">Documentación </t>
  </si>
  <si>
    <t>% de licencias ambientales resueltas dentro de los términos de ley 
(No. licencias resueltas que cumple los tiempos de ley / total de licencias resueltas)</t>
  </si>
  <si>
    <t>% de autorizaciones, permisos, concesiones y certificaciones, resultas en los términos establecidos en el SGI
(No. autorizaciones, permisos, concesiones y certificaciones, resultas en los términos establecidos en el SGI / total de autorizaciones, permisos, concesiones y certificaciones, resultas)</t>
  </si>
  <si>
    <t>Acciones</t>
  </si>
  <si>
    <r>
      <t xml:space="preserve">No. de acciones de control y seguimiento a licencias ambientales priorizadas anualmente </t>
    </r>
    <r>
      <rPr>
        <u/>
        <sz val="8"/>
        <rFont val="Arial"/>
        <family val="2"/>
      </rPr>
      <t>realizada</t>
    </r>
    <r>
      <rPr>
        <sz val="8"/>
        <rFont val="Arial"/>
        <family val="2"/>
      </rPr>
      <t xml:space="preserve">s / No. de acciones de control y seguimiento a licencias ambientales priorizadas anualmente </t>
    </r>
    <r>
      <rPr>
        <u/>
        <sz val="8"/>
        <rFont val="Arial"/>
        <family val="2"/>
      </rPr>
      <t>programadas</t>
    </r>
  </si>
  <si>
    <t>No. de acciones de control y seguimiento a licencias ambientales priorizadas anualmente realizadas / No. de acciones de control y seguimiento a licencias ambientales priorizadas anualmente programadas</t>
  </si>
  <si>
    <t>No. de acciones de control y seguimiento a otras actividades ambientales realizadas / No. de acciones de control y seguimiento a otras actividades ambientales programadas</t>
  </si>
  <si>
    <t>Nro. de acciones de control al trafico ilegal de los recursos naturales realizadas / Nro. de acciones al trafico ilegal de los recursos naturales realizadas programadas</t>
  </si>
  <si>
    <t>No. de acciones de control y seguimiento a actividades de manejo y disposición de residuos solidos realizadas / No. de acciones de control y seguimiento a actividades de manejo y disposición de residuos solidos programadas</t>
  </si>
  <si>
    <t>Implementación y seguimiento al 100% de los libros de operaciones registrados en el SILOP</t>
  </si>
  <si>
    <t xml:space="preserve">Seguimiento a libros de operaciones registrados en SILOP / Total libros operaciones registrados en el SILOP </t>
  </si>
  <si>
    <t>% seguimiento</t>
  </si>
  <si>
    <t>Nro. de acciones de control y seguimiento ambiental para la legalización de proyectos o actividades mineras realizadas / Nro. de información allegada por la Secretaria de Minas a la Corporación.</t>
  </si>
  <si>
    <t>Control y seguimiento al 100 % de  las quejas, que son objeto del debido control.</t>
  </si>
  <si>
    <t>Aplicación de la Resolución 1541 de 2013 y el Protocolo para el Monitoreo, Control y Vigilancia de Olores Ofensivos.</t>
  </si>
  <si>
    <t>No de PRIO en seguimiento  / No. de PRIO presentados a la Corporación</t>
  </si>
  <si>
    <t xml:space="preserve">Impulso de etapas de procedimientos sancionatorios iniciados /  etapas de procedimientos sancionatorios programados </t>
  </si>
  <si>
    <t>% de procesos sancionatorios Resueltos
IMGR667-2016</t>
  </si>
  <si>
    <t>Implementación y seguimiento del Plan Anticorrupción y servicio al ciudadano</t>
  </si>
  <si>
    <t>ANEXO No. 2.PROTOCOLO O GUÍA DE DILIGENCIAMIENTO</t>
  </si>
  <si>
    <t xml:space="preserve">MATRIZ DE SEGUIMIENTO A LA GESTIÓN Y DE AVANCE EN LAS METAS FÍSICAS Y FINANCIERAS DEL PLAN DE ACCIÓN </t>
  </si>
  <si>
    <t xml:space="preserve">ITEM </t>
  </si>
  <si>
    <t>DEFINICIONES</t>
  </si>
  <si>
    <t xml:space="preserve">(1) PROGRAMAS - PROYECTOS  DEL Plan de Acción 2007-2009 </t>
  </si>
  <si>
    <t>Enuncie el nombre del total de los programas y proyectos aprobados en el Plan de Acción, utilizando la misma estructura jerárquica del Plan.  Se plantea una estructura inicial de Programas con proyectos relacionados, no obstante esta estructura es solo indicativa. Inserte filas cuando sea necesario ingresar mas programas y proyectos.  Recuerde que jerárquicamente los programas están integrados por proyectos y estos por actividades y la matriz pretende conocer hasta la escala de proyectos.</t>
  </si>
  <si>
    <t>(2) UNIDAD DE MEDIDA</t>
  </si>
  <si>
    <t>Relacione la unidad de medida por medio de la cual se determina la meta y el avance de la meta física, ejemplo Hectáreas reforestadas, hectáreas con POMCA, PGIRS Apoyados, etc.  Generalice una unidad de medida por cada proyecto, para el caso de programa no es necesario definir la unidad de medida.</t>
  </si>
  <si>
    <t>(3) META FÍSICA ANUAL</t>
  </si>
  <si>
    <t>Identifique el valor de la meta anual programada para el año que se este evaluando, con relación al programa o proyecto reportado en la columna (1). Ejemplo: hectáreas reforestadas, microcuencas con plan de ordenamiento formulado, # de vertimientos reglamentados, etc.</t>
  </si>
  <si>
    <t>(4) AVANCE DE LA META FISICA  (Según unidad de medida y Periodo Evaluado)</t>
  </si>
  <si>
    <t>Reporte el avance acumulado para el periodo evaluado, en la ejecución física de la respectiva meta anual programada en la columna (3). Ejemplo: 35 hectáreas reforestadas, 3 microcuencas con plan de ordenamiento formulado, etc.  Si no se presenta avance en el programa o proyecto, se deberá diligenciar la matriz con ceros (0,0) y en ningún caso dejar celdas en blanco.</t>
  </si>
  <si>
    <t>(5) PORCENTAJE DE AVANCE FISICO (Periodo Evaluado)</t>
  </si>
  <si>
    <t>Calcule el porcentaje del avance anual de la Meta física programada. Divida el valor de la columna  (4) con el valor de la columna (3) y multiplique por 100. Para el caso, cuando el resultado del avance de una meta física de un programa o proyecto se reporte como el promedio ponderado o aritmético de las metas de los proyectos relacionados con dicho programa o proyecto, es importante indicar esta condición en la columna 10.   Si no se presenta avance en el programa o proyecto, se deberá diligenciar la matriz con ceros (0,0) y en ningún caso dejar celdas en blanco.</t>
  </si>
  <si>
    <t xml:space="preserve">(5-A) DESCRIPCIÓN DEL AVANCE 
</t>
  </si>
  <si>
    <t>En esta columna se puede describir en texto lo que se desea justificar, describir y aclarar del avance del programa, proyecto, actividad.</t>
  </si>
  <si>
    <t>(6) PORCENTAJE DE AVANCE PROCESO DE GESTION DE LA META FISICA (aplica unicamente para el informe del primer semestre)</t>
  </si>
  <si>
    <t>Cuando el avance de la meta física prevista para cada proyecto no es cuantificable, para el corte del periodo evaluado, reporte en porcentaje, el equivalente a la gestión realizada.  Esta columna solamente aplica para el primer semestre de cada año, dado que en el informe anualizado se debe contar con algún tipo de producto o parte de este, de acuerdo con la meta planteada, por lo tanto en el informe anualizado esta columna debera ser diligenciada con NA. correspondiente</t>
  </si>
  <si>
    <t>(7) META FÍSICA DEL PLAN</t>
  </si>
  <si>
    <t>Identifique el valor  (en numero) de la meta del plan de acción con relación al programa y/o proyecto reportado en la columna (1). Ejemplo: hectáreas reforestadas, microcuencas con plan de ordenamiento formulado, # de vertimientos reglamentados, etc.</t>
  </si>
  <si>
    <t>(8) ACUMULADO DE LA META FISICA</t>
  </si>
  <si>
    <t>Reporte el avance acumulado de la meta física que se obtenga desde la aprobación del Plan de Acción, incluyendo el periodo evaluado.  Ejemplo 100 Ha reforestadas (2004) más 140 Ha reforestadas (2005), acumulado 240 Ha (2004+2005)</t>
  </si>
  <si>
    <t>(9) PORCENTAJE DE AVANCE FISICO ACUMULADO</t>
  </si>
  <si>
    <t>Calcule el porcentaje del avance de la Meta física acumulada. Divida el valor de la columna  (8) con el valor de la columna (7) y multiplique por 100.</t>
  </si>
  <si>
    <t>(10) PONDERACIONES DE PROGRAMAS (OPCIONAL DE ACUERDO AL Plan de Acción)</t>
  </si>
  <si>
    <t>Si el Plan de Acción contempla ponderaciones de programas o proyectos, relacione aquí las ponderaciones o pesos dados a cada programa, de acuerdo al porcentaje o valor asignado.</t>
  </si>
  <si>
    <t>(11)META FINANCIERA ANUAL</t>
  </si>
  <si>
    <t xml:space="preserve">Relacione aquí de acuerdo al plan de inversión vigente (incluye adiciones o modificaciones) los montos de inversión anual previstos para cada programa o proyecto </t>
  </si>
  <si>
    <t>(12) AVANCE DE LA META FINANCIERA PROGRAMADA (Periodo Evaluado)</t>
  </si>
  <si>
    <r>
      <t>Reporte el avance acumulado para el periodo evaluado, en la ejecución financiera de la respectiva meta anual programada en la columna (11). Para el caso de los recursos de inversión ejecutados, se deben relacionar específicamente los montos que esten afectados bajo un</t>
    </r>
    <r>
      <rPr>
        <u/>
        <sz val="7"/>
        <rFont val="Arial Narrow"/>
        <family val="2"/>
      </rPr>
      <t xml:space="preserve"> registro presupuestal</t>
    </r>
    <r>
      <rPr>
        <sz val="7"/>
        <rFont val="Arial Narrow"/>
        <family val="2"/>
      </rPr>
      <t>, es decir, los recursos que han surtido todos lo pasos de destinación y efectivamente están designados para la ejecución de un proyecto o actividad.</t>
    </r>
  </si>
  <si>
    <t>(13)  PORCENTAJE DE AVANCE FINANCIERO (Periodo evaluado)</t>
  </si>
  <si>
    <t xml:space="preserve">Calcule el porcentaje del avance anual de la Meta financiera programada. Divida el valor de la columna  (12) con el valor de la columna (11) y multiplique por 100. </t>
  </si>
  <si>
    <t>(14) META FINANCIERA DEL PLAN</t>
  </si>
  <si>
    <t>Relacione aquí de acuerdo al plan de inversión del Plan de Acción  los montos de inversión previstos para cada programa o proyecto para los tres años. (incluye adiciones o modificaciones).</t>
  </si>
  <si>
    <t xml:space="preserve">(15)  AVANCE ACUMULADO DE LA META FINANCIERA </t>
  </si>
  <si>
    <t>Reporte el avance acumulado en la vigencia del Plan de Acción, desde su aprobación hasta el periodo del informe.  Ejemplo $100'000.000.oo (2004) + $150'000.000.oo (2005), da un acumulado de inversión del Plan de Acción de $250'000.000.oo</t>
  </si>
  <si>
    <t>(16) PORCENTAJE DE AVANCE FINANCIERO ACUMULADO %</t>
  </si>
  <si>
    <t>Calcule el porcentaje del avance acumulado de la Meta financiera programada en el Plan de Acción. Divida el valor de la columna  (15) con el valor de la columna (14) y multiplique por 100.</t>
  </si>
  <si>
    <t>(17) OBSERVACIONES</t>
  </si>
  <si>
    <t>Realice las respectivas observaciones que sean necesarias, principalmente cuando se requiera hacer alguna precisión sobre el avance de las metas físicas y financieras..</t>
  </si>
  <si>
    <t>(18) TOTAL DE  METAS  FISICAS Y FINANCIERAS</t>
  </si>
  <si>
    <t>Sume los recursos de las metas financieras del plan, anual y de avance del periodo para cada proyecto, en las columnas respectivas (11, 12, 14 y 15). Es importante cuidarse de no sumar subtotales de los programas con las metas financieras de los proyectos, para evitar  sumas dobles de un mismo proyecto. 
Calcule el % de avance total de los programas mediante el promedio de cada uno de los porcentajes de avance de los programas. Es importante recordar que no es aplicable para metas financieras realizar ponderaciones.
Para el caso de las metas físicas, se deben totalizar las columnas  5 y 9, calculando el promedio de los porcentajes de avance de cada programa, es decir, el porcentaje de avance de las metas físicas del Plan de Acción en el periodo evaluado y el acumulado, así: sume el porcentaje de avance de cada programa y dividalo en el número de programas, con los datos respectivos, en las columnas 5 y 9  (Si es el caso, tenga en cuenta las ponderaciones que estén estipuladas en el Plan de Acción, las cuales debe quedar registradas en la columna 10).</t>
  </si>
  <si>
    <t>No programado</t>
  </si>
  <si>
    <t>NP</t>
  </si>
  <si>
    <t>NA</t>
  </si>
  <si>
    <t>IMG667-2016
Porcentaje de Planes de Gestión Integral de Residuos Sólidos (PGIRS) con seguimiento a metas de aprovechamiento</t>
  </si>
  <si>
    <r>
      <t xml:space="preserve">Acciones de Control y seguimiento al </t>
    </r>
    <r>
      <rPr>
        <u/>
        <sz val="8"/>
        <rFont val="Arial"/>
        <family val="2"/>
      </rPr>
      <t>100%</t>
    </r>
    <r>
      <rPr>
        <sz val="8"/>
        <rFont val="Arial"/>
        <family val="2"/>
      </rPr>
      <t xml:space="preserve"> de las Licencias Ambientales en sus obligaciones técnicas y financieras.</t>
    </r>
  </si>
  <si>
    <t>% de autorizaciones ambientales con seguimiento (Licencias ambientales)
 (No. de LA con seguimiento realizadas/No. de LA programadas)
IMGR667-2016</t>
  </si>
  <si>
    <t>% de Programas de Uso Eficiente y Ahorro del Agua (PUEAA) con seguimiento (Asociado a LA)
IMGR667-2016</t>
  </si>
  <si>
    <r>
      <rPr>
        <u/>
        <sz val="8"/>
        <rFont val="Arial"/>
        <family val="2"/>
      </rPr>
      <t xml:space="preserve">200 </t>
    </r>
    <r>
      <rPr>
        <sz val="8"/>
        <rFont val="Arial"/>
        <family val="2"/>
      </rPr>
      <t xml:space="preserve">Acciones de Control y seguimiento ambiental para la legalización de proyectos o actividades mineras </t>
    </r>
  </si>
  <si>
    <t>Ampliación, Modernización y Funcionamiento del Laboratorio de Servicios Ambientales de la Corporación</t>
  </si>
  <si>
    <t>Valor recaudado/Valor presupuestado</t>
  </si>
  <si>
    <t>Valor ejecutado/Valor presupuestado</t>
  </si>
  <si>
    <t>% Recursos obtenidos/ Recursos proyectados</t>
  </si>
  <si>
    <t>Elaboración e implementación del plan  para la transformación de  sedes corporativas ambientalmente amigables.</t>
  </si>
  <si>
    <t>Cumplimiento Plan de trabajo Control Interno
No. actividades ejecutadas del plan de trabajo de control interno / No. actividades programadas*100).</t>
  </si>
  <si>
    <t>Formular y ejecutar el plan anual de trabajo del sistema de gestión de seguridad y salud en el trabajo (SG-SST)</t>
  </si>
  <si>
    <t>Actualización de la  Estructura Organizacional y provisionar el 100% de la planta de cargos</t>
  </si>
  <si>
    <t>Cargos provistos / Total de la planta de cargos</t>
  </si>
  <si>
    <t>OBJETIVO PROGRAMA 1:  Promover y dinamizar los procesos de Educación Ambiental logrando la inclusión en los escenarios y currículos de los diferentes niveles de la educación, mediante el diseño de proyectos y herramientas enfocados en la gestión ambiental, institucional y local, bajo los lineamientos de la política nacional de educación ambiental, fortaleciendo la incorporación y el reconocimiento de la educación ambiental como elemento estratégico y estructurante de los principales instrumentos de la planificación y de gestión local y regional y mejorando la calidad de los procesos educativo ambientales del Oriente Antioqueño en los campos de formación, investigación, gestión conceptualización y proyección.</t>
  </si>
  <si>
    <t>(14)                                         META FINANCIERA   DEL PLAN     
($)</t>
  </si>
  <si>
    <t>Formulación, evaluación y  ejecución de 1400 proyectos ambientales Corporativos</t>
  </si>
  <si>
    <t>Ejecución de Acciones en Gestión Ambiental Urbana
IMGR667-2015</t>
  </si>
  <si>
    <t>Consolidación del espacio público natural y mejoramiento paisajístico en corredores lineales</t>
  </si>
  <si>
    <t xml:space="preserve"> No. de jornadas de participación / numero de jornadas convocadas *100 </t>
  </si>
  <si>
    <t>Recuperación de semillas en desuso y vía de extinción para la seguridad alimentaria,
Fortalecimiento a 45 custodios, ferias de semillas y la articulación con la red nacional.</t>
  </si>
  <si>
    <t>Vinculación de 2800 familias al esquema PSA a través de BancO2 (Banco2 BIO, Paramo y otros ecosistemas)</t>
  </si>
  <si>
    <t>Conservación de 25.000 hectáreas de ecosistemas naturales en la región.</t>
  </si>
  <si>
    <t xml:space="preserve">Conservación de 10 especies de flora y fauna en Peligro de Extinción </t>
  </si>
  <si>
    <t xml:space="preserve">Ejecución de 8 inventarios faunísticos y/o florísticos en áreas ambientales estratégicas </t>
  </si>
  <si>
    <t>% de implementación Plan de Manejo</t>
  </si>
  <si>
    <t>Áreas protegidas declaradas (Ha.)/Áreas protegidas proyectadas Ha.)</t>
  </si>
  <si>
    <t>50 proyectos de infraestructura para el saneamiento urbano y de centros poblados (Construcción y ampliación de cobertura de recolección, y construcción o arranque de PTAR)</t>
  </si>
  <si>
    <t>Realización de una Campaña anual de la Calidad del Aire en la Región (PM 2.5 y PM10).</t>
  </si>
  <si>
    <t xml:space="preserve"> 178 Acciones de diálogo con la ciudadanía y retroalimentación de la gestión  (Rendición de cuentas)</t>
  </si>
  <si>
    <t xml:space="preserve">3 mediciones de satisfacción por año y percepción de clientes y grupos de interés </t>
  </si>
  <si>
    <t>26 Municipios de la jurisdicción  asesorados y apoyados en la implementación de la Catedra de Educación Ambiental</t>
  </si>
  <si>
    <t>Municipios asesorados y apoyados en la implementación de la catedra para la cultura ambiental / total de  Municipios de la jurisdicción.</t>
  </si>
  <si>
    <t>Implementación de 445 espacios de aprendizaje en las Instituciones Educativas de la región.</t>
  </si>
  <si>
    <t>Realizar 40 eventos de articulación institucional ambiental de CORNARE MAS CERCA</t>
  </si>
  <si>
    <t>proceso educativo virtualizados</t>
  </si>
  <si>
    <t>Esta meta no esta programada para el año 2019</t>
  </si>
  <si>
    <t xml:space="preserve">Desde la Subdirección de Servicio al Cliente se vienen ejecutando las acciones relacionadas con la política de Gobierno Digital (Gobierno en Línea);con la ejecucion  de las actividades propuestas dentro de las directrices establecidas en la Resolución 3564-2015 del Ministerio TIC y reportadas en la plataforma ITA de la Procuraduría General de la Nación. </t>
  </si>
  <si>
    <t>se realizaron 33 acciones de dialogo:
(Audiencia Publica de Rendición de Cuentas (1), Reuniones de Rendición de Cuentas (28), Feria de trasparencia (1), Asamblea Corporativa (1) y Cornare más Cerca (2) con el sector Industrial y Comunidades.</t>
  </si>
  <si>
    <t>Para el cumplimiento del PAAC se definieron  44 actividades para los 6 componentes que lo integran.
Para el cuatrimestre enero-abril, se determina un cumplimiento promedio del plan del 48%, que se explica de la siguiente manera: 13 actividades de las programadas evaluadas con cumplimiento de la meta del 100% (que corresponden al 30%) y 29 actividades en las que se evidencian avances en su ejecución (lo que corresponde al 66%)</t>
  </si>
  <si>
    <t>se consolidaron los grupos de interés identificados y se hizo seguimiento a la responsabilidad de cada líder frente al relacionamie</t>
  </si>
  <si>
    <t xml:space="preserve">se avanzó en una medición de satisfacción correspondiente a las encuestas de satisfacción en el servicio </t>
  </si>
  <si>
    <t>ya que se consolidó el modelo propuesto a partir de acciones para el buen servicio dentro de la estrategia de atención oportuna a las peticiones y solicitudes de los ciudadanos</t>
  </si>
  <si>
    <t>se viene mejorando la consolidación de la plataforma que facilita la recepción, trámite y seguimiento a las Peticiones, Quejas, Reclamos y Solicitudes de nuestros Usuarios.</t>
  </si>
  <si>
    <t xml:space="preserve">Se realizaron actividades de fortalecimiento de los ejercicios de participación ciudadana, la estrategia de lucha contra la corrupción y los mecanismos de visibilidad y transparencia. Como resultado de la Auditoría realizada por el ICONTEC en el mes de octubre, se resalta la madurez y consolidación del proceso Transparencia, participación y Servicio al ciudadano. </t>
  </si>
  <si>
    <t>Se fortalecieron las 6 ventanillas y se logro avanzar en la consolidación de una política integral de atención al ciudadano.</t>
  </si>
  <si>
    <t>esta es una meta de cumplimiento permanente semestre a semestre. Como una de las acciones estratégicas en el relacionamiento con los usuarios y grupos de interés, la Corporación a partir de la “Carta de Trato Digno” definió y estableció los canales de interacción y acceso de los ciudadanos a la oferta institucional de trámites.</t>
  </si>
  <si>
    <t xml:space="preserve">esta es una meta de cumplimiento permanente semestre a semestre. Aunadas a las metas anteriores este es el resultado del trabajo permanente para actualizar los trámites y buscar mejor acceso de los ciudadanos al servicio oportuno y eficiente con tiempos y resultados claros. </t>
  </si>
  <si>
    <t>A partir de la identificación y construcción de relacionamiento con los grupos de interés desde 2017 se puso en operación la matriz de descripción, necesidades y acciones, todas ellas con un seguimiento e implementación acorde con los objetivos corporativos</t>
  </si>
  <si>
    <t>Se realizo:
• Consulta pública participativa – Plan Anticorrupción y Atención al Ciudadano 2016 - 2019. 
• Formulación de los Planes de Ordenación y Manejo de Cuencas Hidrográficas – POMCAS.</t>
  </si>
  <si>
    <t>se lograron actas compromisorias de concertación y actuación ambiental, adicionalmente dentro de la estrategia de legalidad, tuvimos 86 reuniones de concertación y asesoría con partes interesadas que sin duda disminuye el impacto negativo ambiental y el desgaste institucional por procedimientos internos.</t>
  </si>
  <si>
    <t>Esta meta no esta programada para el año 2019; sin embargo se han realizado diversas actividades: 
se han llevado al formato issuu las cartillas de cátedra de Educación para la Cultura Ambiental, se grabaron los audios de dichas cartillas y se dispusieron en la web.</t>
  </si>
  <si>
    <t xml:space="preserve">Se se terminó el proceso de implementación del PRAU con COREDI, y se implementó el PRAU con la Universidad Católica de Oriente. </t>
  </si>
  <si>
    <t>Esta meta fue cumplida en el año 2017, con la formulación de los 8 POMCAS programados para la jurisdicción Cornare</t>
  </si>
  <si>
    <t>Se realizó la elaboración de los 26 documentos de “Referentes Ambientales para la construcción de los Planes de desarrollo de la Jurisdicción Cornare”, como instrumento que permite materializar el PGAR, además de ser un ejercicio de planeación estratégica el cual recopila en un documento la actualización de la línea base ambiental en cada uno de los 26 municipios de la jurisdicción CORNARE.</t>
  </si>
  <si>
    <t>Se realizó seguimiento en la Audiencia Pública de Rendición de Cuencas realizada el 25 de abril en el municipio de El Santuario</t>
  </si>
  <si>
    <t>Desde la Corporación se han realizado y reportados los diferentes informes al IDEAM para cada uno de los módulos del SIAC (SIRH, SISAIRE, SNIF, RESPEL, SIUR (RUA)).</t>
  </si>
  <si>
    <t>Avance de 35% en la meta programada para el año, que corresponde a un 75% de avance en la formulación del Plan de Gestión integral de residuos sólidos de residuos Especiales y peligrosos-PGIRS RESPEL, acorde con la normatividad vigente</t>
  </si>
  <si>
    <t>Instrumentación de alarmas a 31 corrientes hídricas.</t>
  </si>
  <si>
    <t xml:space="preserve">Bajo esta meta se desarrollan gestiones de promoción, acompañamiento y asesoría a las empresas de los sectores productivos de la Jurisdicción CORNARE, con el objetivo de que se presenten proyectos para acceder a incentivos tributarios, para lo cual la Oficina de Crecimiento Verde y Cambio Climático, acompañó a 7 empresas y evaluó 12 proyectos, en virtud del decreto 2205 de 2017, en donde las autoridades ambientales acreditan las inversiones de control, conservación y mejoramiento del medioambiente realizadas por las empresas para la deducción de renta. </t>
  </si>
  <si>
    <t>Durante primer semestre del año 2019 frente a la meta 1, se ha realizado la compensación a 2394 familias en la jurisdicción Cornare, correspondientes a 2385 del consolidado de años anteriores, y 9 familias del primer semestre de 2019 con un indicador de cumplimiento de la meta del 100%.</t>
  </si>
  <si>
    <t>20 Repoblamientos de Especies Icticas Nativas</t>
  </si>
  <si>
    <t>las 4 areas protegidas con plan de manejo actualizado y elaboados son: DRMI Cuervos, San Pedro,  y La Selva RFPR La Montaña</t>
  </si>
  <si>
    <t>Convenio 475/2017 con UNAL: avance fisico y fincanciero del 100% ; Convenio 165-2019 con Asoaguas.  Se realizó taller con TNC sobre Evaluación de Impactos acumulativos del sector hidroeléctrico en la jurisdicción de Cornare”</t>
  </si>
  <si>
    <t>Se formuló y socializó el proyecto “Evaluación de Oferta y Calidad de las Aguas Subterráneas del Municipio de Rionegro”, para ser ejecutado con EAFIT, E. P. Rio, EPM y el municipio, pero no fue posible garantizar su cofinanciación por lo que se requiere modificar esta meta del PAI.</t>
  </si>
  <si>
    <t xml:space="preserve">$954.894.345 TxU + 374.465.821 T.R./$1.200.000.000 TxU + $1.116.515.416 T.R. </t>
  </si>
  <si>
    <t>En lo corrido del año 2019, se viene adelantando la campaña de calidad del aire, alcanzando la meta programada en un 100%, ya que finalizó la Campaña de monitoreo de la Calidad del Aire del año 2018 que había iniciado en el mes de noviembre del mismo y se realizó una adición al contrato para el desarrollo de la campaña del año 2019. A la fecha se está ejecundo dicha adición.</t>
  </si>
  <si>
    <t>Se aprobó el plan de descontaminación por ruido del municipio de Rionegro</t>
  </si>
  <si>
    <t>Se vienen  desarrollando el plan, acorde a lo previsto</t>
  </si>
  <si>
    <t>Se han desarrollado acciones estratégicas de seguimeinto en materia de emisiones atmosféricas</t>
  </si>
  <si>
    <t>En el primer semestre del 2019, se resolvieron 37 procesos sancionatorios, correspondiente al 100% de los informes técnicos de tasación de multas</t>
  </si>
  <si>
    <t>Durante el primer semestre se han apoyado 10 proyectos con JAC</t>
  </si>
  <si>
    <t>la Corporación participó activamente de los diferentes espacios, encuentros y reuniones programadas por las diferentes instituciones, tales como: CIDEA, CODEAM y CIFFA</t>
  </si>
  <si>
    <t xml:space="preserve">Formular y ejecutar al 100%  el   plan de Bienestar Social e incentivos </t>
  </si>
  <si>
    <t>Promoción y Aplicación de 5 procesos de formación y estímulo a los medios de comunicación.</t>
  </si>
  <si>
    <t>El 100% de las acciones de competencia de La Corporación se están ejecutando en el marco de los proyectos planteados en el PCVDCC</t>
  </si>
  <si>
    <t xml:space="preserve">Se realizaron las actividades programadas desde la planeación, ejecución, verificación y mejora. </t>
  </si>
  <si>
    <t xml:space="preserve">El PIGA presenta un cumplimiento del 100%, mediante la formulación y ejecución de los programas:
Consumo Responsable y Cambio Climático
Manejo Integral de los Residuos
Cultura Ambiental </t>
  </si>
  <si>
    <t>Cumplimiento plan de trabajo de trabajo de control interno; ya que  de 21 actividades programadas 21 se validan cumplidas en un 100%; situación que es coherente con la periodicidad y fechas de corte establecidas en el plan.  
Las actividades mas relevantes son: 
Auditorias (Control fiscal, Auditorias gestión - control, Auditorias y seguimientos normativos).
Atención de asesorías, apoyos, acompañamientos y capacitaciones.
Informes presentados a entes externos.
Índice de desempeño institucional IDI y Control Interno.
Índice de desempeños de los componentes MECI.
Rendición de cuentas e información a partes interesadas.</t>
  </si>
  <si>
    <t>con la actualización de los diferentes elementos establecidos en la normatividad vigente para el Sistema de Gestión de la Seguridad y Salud en el Trabajo, en especial lo contemplado en la Resolución 0312 de 2019 del Ministerio del Trabajo, Por la cual se modifican los Estándares Mínimos del Sistema de Gestión de la Seguridad y Salud en el Trabajo para empleadores y contratantes.</t>
  </si>
  <si>
    <t>Se destacan las siguientes acciones:
Adecuación y liberación de espacios físicos.
Clasificación y organización de material de divulgación.
Elaboración de inventario documental.
Radicación y circulación de 49.561 documentos.
Apertura de 3.548 expedientes.</t>
  </si>
  <si>
    <t>Se atendieron de manera oportuna 6.853 actuaciones ambientales (3.538 autos y 3.315 resoluciones). 
Se participó en 2 audiencias penales (San Roque y La Ceja).</t>
  </si>
  <si>
    <t>Se elaboraron 459 contratos y convenios.</t>
  </si>
  <si>
    <t>Durante el 2019  se siguieron fortalecido los mecanismos jurídicos dando cumplimento al plan de acción  Institucional 2016-2019, alcanzando las metas del proyecto en ejecución de la oficina jurídica, con el grupo de abogados y judicantes contratados en este año y la actualización de los diferentes temas de contratación estatal y ambiental de índole jurídica a todo los usuarios internos y externo.</t>
  </si>
  <si>
    <t>La Oficina Jurídica  mantiene el liderazgo para construir una cultura de prevención del daño antijurídico que reduzca la litigiosidad de la Corporación en beneficio de toda la Región; operatividad del Comité de conciliación de la Corporación, del cual se han realizado siete (10) reuniones para analizar y deliberar las diferentes posiciones jurídicas tomadas en los procesos judiciales.</t>
  </si>
  <si>
    <t>Acompañamiento permanente a los usuarios en el soporte tecnológico.
Adopción de tecnologías para ayudar al desarrollo de actividades corporativa. 
 Campañas Institucionales de uso y manejo del correo electrónico corporativo, escáner, impresoras, equipos de cómputo y sistemas de información, entre otros.
Acompañamiento a las sedes regionales.
Compra de dos servidores en Hiperconvergencia y dos Suiches de comunicaciones.
Adquisición de 9 impresoras multifuncionales LEXMARK 522.
Virtualización de dos servidores.
Implementación de una plataforma hyperconvergente para prestara un mayor soporte a las aplicaciones e información de la Corporación.</t>
  </si>
  <si>
    <t>Accesibilidad de la información.
Creación de las políticas de TI, adopción de estrategias de seguridad y aseguramiento de la información y bases de datos basados en las políticas y MSPI.
Adopción de políticas de seguridad y protección de la información.
Elaboraciones de políticas de seguridad a usuario final, así como la adaptación de una herramienta tecnológica para los reportes de incidentes y requerimientos llamada SUMATI.</t>
  </si>
  <si>
    <t>Se adelantaron las siguientes acciones, tendientes a mantener las sedes en buenas condiciones 
 Jornadas de capacitación a los compañeros de mantenimiento.
Charlas semanales para reforzar los valores éticos.
Adecuación nuevo laboratorio de suelos.
Adecuación oficinas de licencias ambientales y Banco2.
Adecuación en las instalaciones de Valles de un espacio para la muestra del proyecto Bosques de Alimentos (Paraquita).
Actividades constantes de mantenimiento y embellecimiento de la sede principal y las 5 direcciones regionales (VSN, Aguas, Paramo, Bosques y Porce Nús).</t>
  </si>
  <si>
    <t>Esta meta no fue programada en el año 2019. Sin embargo se adelantaron las siguientes acciones: 
Correcciones a fugas y daños en redes internas, de acueducto y alcantarillado.
Reemplazo del 95% de la luminarias de la Corporación por lámparas LED.</t>
  </si>
  <si>
    <t xml:space="preserve">Se elaboro el  plan de compras, se realizo la administración y manejo de inventarios y se continúa avanzado en la implementación del programa COMPRAS SOSTENIBLES con el impulso de la compra de elementos con criterios de sostenibilidad, a la cual se le valida un cumplimiento del 46% </t>
  </si>
  <si>
    <t>Se creo la  OFICINA DE LICENCIAS Y PERMISOS AMBIENTALES, mediante Acuerdo N° 389 de junio 19 de 2019.
Se pasa de una planta de cargos de 214 empleados a  223 (22 cargos de libre nombramiento y 201 cargos de carrera administrativa ).
A noviembre, e acuerdo a los proyectos que se han desarrollado, se realizaron 6 (seis) reubicaciones y 19 (diecinueve) traslados, teniendo en cuenta los perfiles de los funcionarios.</t>
  </si>
  <si>
    <t>Se actualizó el Plan Institucional de Capacitación,  el cual se hizo con base en el diagnóstico de necesidades de aprendizaje por dependencia, los requerimientos reportados en las evaluaciones del desempeño y las nuevas directrices del Departamento Administrativo de la Función Pública; además de la ejecución del mismo.
Para la vigencia 2019 se tienen programados 40 eventos de capacitación, las cuales se realizarón en su totalidad.</t>
  </si>
  <si>
    <t xml:space="preserve">La Corporación realizó los procesos de contratación para el suministro de almuerzos a los funcionarios en cada una de las sedes corporativas, igualmente para la prestación del servicio de transporte en buses en las rutas: Medellín- El Santuario y viceversa, Medellín - Rionegro - El Santuario y viceversa, La Ceja - Rionegro - El Santuario y viceversa. 
Durante el año Dentro del Plan de Incentivos, se han otorgado 51 encargos en empleos superiores, 26 en nivel profesional, 11 en el nivel técnico y 14 en el nivel asistencial.
Con respecto al Plan de Bienestar Social, se desarrollan las áreas de calidad de vida laboral y protección social y servicios sociales.
</t>
  </si>
  <si>
    <t>Se ha dado cumplimiento al Plan de Trabajo de Seguridad ty Salud en el Trabajo,  buscando cumplir con la normatividad vigente y brindar condiciones óptimas de labor a todos los servidores públicos de la Corporación, disminuyendo la accidentaidad laboral y el ausentismo, entre otras actividades: afiliación a riesgos laborales, actualización matriz riesgos, actualización, capacitación e inducción del  plan seguridad vial,  entre otros.</t>
  </si>
  <si>
    <t>Para el año 2019 no se tenía programada esta meta; sin embargo, se adelantaron acciones durante todo el año para el fortaleciendo de la Ambiental Catedra de Educación para la Cultura en los 26 municipios de la jurisdicción; entregando 47.824 cartillas de más módulos, ampliando cobertura en Sedes e Instituciones Educativas; además de las acciones de socialización y capacitación.</t>
  </si>
  <si>
    <t xml:space="preserve">De los 218 espacios de aprendizaje programados para el año, se firmó convenio para 207, donde 206 son con la Gobernación de Antioquia y 1 con la Empresa de Servicios Públicos de El Carmen de Viboral “La Cimarrona E.S.P”. </t>
  </si>
  <si>
    <t>Para el año se tuvo la oportunidad de apoyar y asesorar la implementación de 128 PRAES en la jurisdicción Cornare, de las cuales se logró implementar en más de 44 I.E., en los 26 municipios de la región CORNARE</t>
  </si>
  <si>
    <t>1. Jornada de educación ambiental- Puerto Garza- San Carlo.
2. Jornada De Educación Ambiental, Red De Jóvenes De Ambiente.
3. Jornada de acompañamiento a los procesos de pacto por la Paz en el Oriente Antioqueño.
4. Jornada de educación ambiental Universidad pedagógica y tecnología de Colombia Tunja.
5. Cierre y clausura del proyecto Espacios de Aprendizaje regional Aguas.
6. Cierre y clausura del proyecto Espacios de Aprendizaje regional Bosques.
6. Cierre y clausura del proyecto Espacios de Aprendizaje regional Paramo.</t>
  </si>
  <si>
    <t>Se realizaron eventos con diferenters grupos como Scaut, Fuerzas Armadas, Jovenes de grupos ambientales, Personas de centro penitenciario, Empresa de flores.</t>
  </si>
  <si>
    <t xml:space="preserve">Esta meta ya fue cumplida en el año 2017 con los siguientes tres eventos: 
• II Encuentro de jóvenes por el ambiente en la jurisdicción Cornare, Exaltación de acciones ambientales positivas y Red de jóvenes por el ambiente de la jurisdicción Cornare.
• Exaltación de los niños guardianes y protectores ambientales en el municipio de Rionegro.
• Encuentro de organizaciones ambientales de la jurisdicción. </t>
  </si>
  <si>
    <t>Durante el año 2019, se consolidó un diagnóstico de cada municipio por regional a partir del seguimiento y acompañamiento por parte de CORNARE a los 26 CIDEAM de la jurisdicción, lo que se refleja en 1116 apoyos que corresponden a visita inicial, reuniones ordinarias, expurgo documental, acompañamiento para revisión de actos administrativos, plan de acción, reglamento, revisión de PEAM y normatividad en educación ambiental. Cada municipio se le asignó una fase de avance y desarrollo que indica el progreso y dinamización de los CIDEAM; fase 1 (estructuración), fase 2 (consolidación), fase 3 (fortalecimiento), fase 4 (proyección).</t>
  </si>
  <si>
    <t xml:space="preserve">Se realizó el encuentro anual de la RED CIDEA; el 29 de noviembre en el municipio de El Santuario, a través de la realización del Foro de Educación Ambiental “una reflexión entre lo ambiental y lo educativo ambiental” </t>
  </si>
  <si>
    <t>Los eventos realizados fueron:
• Encuentro de CERCANOS Marinilla 7 y 8 de marzo de 2019.
• Encuentro ONG Marinilla, 13 de agosto de 2019.
• Foro de Educación Ambiental “una reflexión entre lo ambiental y lo educativo ambiental”.</t>
  </si>
  <si>
    <t xml:space="preserve">Durante el año 2019 no se apoyaron proyectos ambientales con grupos organizados (ONGs o asociaciones de la región). Por lo que no se cumplió la meta programada para el año que era de cinco. </t>
  </si>
  <si>
    <t>Todos proyectos, en el momento de la formulación tienen en el aplicativo BPIAC el componente educativo ambiental, al cual se le hace seguimiento a través de la ejecución de los mismos.</t>
  </si>
  <si>
    <t>Se realizaron 6 jornadas de Cornare más Cerca:
Concepción, 02-08-2019
Nariño, 16-08-2019
Guatapé, 30-08-2019
San Francisco, 13-08-2019
El Santuario, 27-09-2019
Granada, 01-11-2019</t>
  </si>
  <si>
    <t>Durante el año 2019, se realizó la Cuarta Versión de las Olimpiadas de la Cultura Ambiental, con el lema “POR NUESTRA CASA COMÚN MÁS LIMPIA”.</t>
  </si>
  <si>
    <t>1. Celebración del día Mundial de la Educación Ambiental, Municipio de El Santuario, sede Principal.
2. Celebración Día Mundial de los Humedales, Municipio de Sonsón corregimiento de San Miguel. 
3. Celebración Día Mundial del Agua, La Piedra Municipio de Guatapé. 
4. Celebración Día de los Páramos, Municipio de Nariño.
5. Celebración Día Ambientales y Emblemáticos, Municipio de San Roque.
6. Celebración día de la biodiversidad, Municipio de Rionegro.
7. Campaña de Semana Santa, acompañamiento jornadas en los municipios de San Rafael, La Ceja, El Carmen y Rionegro (Aeropuerto José María Córdova).
8. 8. Campaña de Semana Erradicación de ojo de Poeta.
9. Sembraton
10. 10. Campaña Libélula, el no uso de la pólvora.</t>
  </si>
  <si>
    <t xml:space="preserve">Con respecto a este indicador, la Oficina Asesora de Comunicaciones cumple en un 100% la ejecución proyectada, gracias a la aplicación del plan de comunicaciones establecido para la videncia 2019, que contempla una serie de estrategias comunicacionales para sostener y mejorar las relaciones con sus grupos de interés externos. Dicha gestión ha permitido un impacto mediático y de relaciones públicas que, en coordinación con la ejecución oportuna de los proyectos ambientales y sociales de las diferentes dependencias, posicionan a la Corporación como una Entidad comprometida con la transformación social del territorio. </t>
  </si>
  <si>
    <t>Para este indicador se ha logrado un 100% de ejecución, a través del cumplimiento del plan de comunicaciones interno establecido para el año 2019, gracias a la implementación de nuevas herramientas estratégicas encaminadas a fortalecer la cultura y el clima organizacional de la Corporación.</t>
  </si>
  <si>
    <t>se realizó 1 evento de reconocimiento a los medios de comunicación de la región por su compromiso en la divulgación y acompañamiento en los diferentes eventos y proyectos de la Corporación, a través de la realización de dos capacitaciones sobre periodismo ambiental y producción y posproducción de grabaciones ambientales, orientadas a promover el trabajo realizado por los comunicadores en materia de conservación del medio ambiente.</t>
  </si>
  <si>
    <t>Durante el  2019 se han realizado actividades que hacen parte de la ejecución de los 8 POMCAS formulados para la jurisdicción.
Se iniciaron las actividades definidas en la estrategia de implementación de los POMCAS en las etapas de reglamentación, socialización, armonización y gestión.  Se formularon y adoptaron las resoluciones de régimen de usos del suelo y densidades para 7 de los 8 POMCAS, se realizaron actividades de socialización con los municipios y se realizó asistencia técnica para la incpororación al POT. Se han realizado reuniones de articulación con empresas del sector privdado para la gestión de proyectos tendientes a la ejecución de los POMCAS en el territorio.</t>
  </si>
  <si>
    <t>Durante el  2019 se realizaron encuentros con 4 de los 8 consejos de cuenca presentes en la jurisdicción, estos corresponden a los POMCA: Río Cocorná y Directos al Magdalena Medio, Río Samaná Norte, Rio Negro y Río Nare.
En estos encuentros se realizó socialización de los resultados de los POMCA, de estrategia de implementación y de las resoluciones de régimen de uso del suelo y densidades, además se establecieron prioridades y temas a trabajar en conjunto.
Adicionalmente, se realizó reunión con comité técnico de comisión conjunta del POMCA del río Samaná Sur, con el fin de establecer ruta a seguir en el trabajo con el consejo de cuenca.</t>
  </si>
  <si>
    <t>el Banco de proyectos registró para el primer semestre de 2019, 232 procesos asociados a 159 proyectos viabilizados, entre institucionales, interadministrativos, regionales y convenios marco, con un aporte de la Corporación en dinero por valor de $143.618’710.424 y en especie de $445’155.782, y de otros en dinero $16.349’626.846.</t>
  </si>
  <si>
    <t>Desde el mes de febrero se ha contratado el soporte y mantenimiento del Geoportal, para lo cual se formuló y aprobó el proyecto asociado a esta meta. 
Se realizó: 
1. Actualización de áreas protegidas.
2. Creación capa y servicio Ecosistemas Estratégicos.
3. Actualización de POMCAS.
4. Actualización de Catastro Jurisdicción de Cornare.
5. Actualización del Módulo de Proyectos BPIAC.
6. Actualización del Módulo Determinantes Ambientales.
7. Actualización de límites de las Cuencas en los Niveles Subsiguientes (NSS1, NSS2 y NSS3).
8. Módulo de Caudales de Reparto.
9. Actualización de manuales de Usuario Interno y Externo.</t>
  </si>
  <si>
    <t>Durante el año 2019:
Se ha gestionado una base de datos geográfica catastral con corte a 2019.
Se atendieron y respondieron 255 solicitudes de mapas, información o conceptos sobre limitaciones ambientales a predios, proyectos o actividades y/o información de carácter ambiental que se almacena en las bases de datos que se administran desde el SIAR.</t>
  </si>
  <si>
    <t>Durante el año 2019 se brindó asistencia técnica y acompañamiento a los 26 municipios de la jurisdicción Cornare en la incorporación de las determinantes a los instrumentos de ordenamiento territorial: 
Se realizron sesiones en los 5 Comités de Integración Territorial en las Subregiones Valles de San Nicolás, Aguas, Porce Nus, Páramo y Bosques.
Adicionalmente se prestó asistencia técnica en el Convenio con la Gobernación de Antioquia a los municipios de Nariño, Abejorral, Sonsón y Argelia en la incorporación de las determinantes ambientales en los procesos de revisión y  ajuste de los POT. Se brindó asistencia técnica en la incorporación de las determinantes ambientales en la revisión del POT de Granada, y se realizó asistencia técnica personalizada a los municipios de Guarne, Marinilla, El Carmen de Viboral, Rionegro, La Ceja, La Unión, El Retiro, El Santuario, San Vicente Ferrer, San Carlos, Puerto Triunfo y San Rafael.</t>
  </si>
  <si>
    <t>Se atendieron cuatro (4) procesos de concertación de POT, correspondientes a los municipios de Guarne, Marinilla, San Carlos y Nariño.
Se atendieron nueve (9)  solicitudes de concertación de Planes Parciales, correspondientes a El Castillo en Puerto Triunfo; La María 2, San Joaquín IV, Santa Ana Parte Baja, El Rosal y La Presentación en Rionegro; Botero en El Retiro; Valles de Campo Alegre en EL Carmen de Viboral y San Sebastián en La Ceja del Tambo.</t>
  </si>
  <si>
    <t>Al cierrre del año 2019 se elaboraron informes de seguimiento a los 26 Planes de Ordenamiento Territorial de los municipios de la jurisdicción Cornare, indicando su estado y particularidades de cada proceso.</t>
  </si>
  <si>
    <t>Durante el  año 2019 se avanzó en el cumplimiento de las acciones del Plan de Acción de la Política de Gestión Ambiental Urbana - PGAU. Concretamente, se consolidó el Índice de Calidad Ambiental Urbana - ICAU para el municipio de Rionegro y se reportó el plan de mejoramiento de la PGAU a la Contraloría General de la República. También se ejecutaron 45 acciones de control y seguimiento a la implementación de los acuerdos ambientales en los proyectos urbanísticos y constructivos de la zona urbana y las plantas de faenado de los municipios de San carlos y Rionegro (también de la zona urbana), específicamente los permisos de vertimientos y compromisos ambientales con la Corporación. Se realizó un operativo urbano de intervención a las fuentes hídricas y las licencias urbanísticas otorgadas en el municipio de Sonsón y seguimiento a la acción popular de la quebradita de Oriente.</t>
  </si>
  <si>
    <t>Se realiza consolidado de las acciones de seguimiento a la incorporación de las determinantes ambientales en los procesos de planificación, específicamente en la generación del Acuerdo 392 del 2019 sobre densidades máximas en suelo rural, la consolidación del seguimiento a la implementación de Acuerdos Corporativos, la expedición de restricciones de rondas hídricas, y en la consolidación del Índice de Calidad Ambiental Urbana del municipio de Rionegro.</t>
  </si>
  <si>
    <t>Se generó el documento de lineamientos para el cierre de minas en el departamento de Antioquia, en conjunto con la Secretaría de Minas del Departamento, Corantioquia y el Área Metropolitana. Se está ejecutando  un convenio interadministrativo entre el Ministerio de Minas y Cornare, cuyo objeto es: “Aunar esfuerzos técnicos, económicos y financieros para implementar acciones de regularización ambiental en el Departamento de Antioquia, jurisdicción de la Corporación Autónoma Regional de las Cuencas de los Ríos Negro y Nare "CORNARE, a través del seguimiento e implementación de los medios de regularización ambiental para los pequeños mineros."
Se expidieron los Términos de Referencia para las autorizaciones temporales mineras, las cuales se presentan al Ministerio de Ambiente y Desarrollo Sostenible parala consolidación nacional.
La construcción del Índice de Ordenamiento Minero Ambiental se finalizó, dando una consolidación del 81,25% de la ordenación de la actividad minera y gestión ambiental en la jurisdicción de Cornare.</t>
  </si>
  <si>
    <t xml:space="preserve">Los 26 municipios de la Jurisdicción Cornare tienen implementada la estrategia regional de residuos que busca el fortalecimiento a la cultura ambiental para el manejo integral de los residuos sólidos con énfasis en aprovechamiento y disposición evitada de residuos </t>
  </si>
  <si>
    <t>Se realizo contro y seguimiento a las metas de aprovechamiento establecidas en los  PGIRS  de los 26 municipios de la jurisdiccion Cornare</t>
  </si>
  <si>
    <t xml:space="preserve">Se realizaron 2 campañas al año entre los mess abril-mayo, con los 7 programas posconsumo.
26 Municipios y 10 empresas de la región participaron activamente en las Jornadas POSCONSUMO, logrando una adecuada gestión de 10 toneladas de residuos posconsumo: (Residuos de Aparatos Eléctricos y Electrónicos “RAEE”, pilas y baterías, luminarias, envases presurizados, medicamentos vencidos o parcialmente consumidos tanto humanos como veterinarios, envases de pesticidas Agrícolas. </t>
  </si>
  <si>
    <t xml:space="preserve">Se apoyaron los 26 municipios en la identifican y/o realización de los estudios necesarios para el conocimiento y la reducción del riesgo y la integración a los POMCAS, gestión ambiental y Planes de Ordenamiento Territorial POT.
Se realizaron estudios en los municipios de Abejorral, Sonsón, San Rafael, Puerto Triunfo, El Carmen de Viboral y Argelia.
10 nuevas instalaciones de monitoreo del nivel de las ríos,  con cubrimientos para las principales fuentes de los municipios de San Roque, Santo Domingo , San Vicente , corregimiento de Estación Cocorná de Puerto Triunfo,Cocorná Sur, bombeo del acueducto del municipio de La Ceja, Guarne, Marinilla y San Carlos (9 Municipios).
Acompañamiento a los municipios en la incorporación de las zonas de alto riesgo de los municipios de Alejandría, Cocorna, El Carmen de Viboral, La Ceja, Rionegro, San Francisco, San Vicente y Santo Domingo (8 municipios). 
</t>
  </si>
  <si>
    <t>26 municipios con asistencia técnica en la transferencia de información a través del CMGRD.
• Publicación de boletines.
• Instalación y generación de información a través del aplicativo App “Alertas Cornare”.
• Instrumentación de sensores de nivel con un cubrimiento del 60% de la región y el 40% restante, se implementa el sistema de alertas tempranas comunitarias y monitoreo con el radar de SIATA.
• Convenio CORNARE-IDEAM para generar cubrimiento del 100% del monitoreo hidrológico, meteorológico y ambiental de la región.
• Centralización de la información, en La sala de Monitoreo.</t>
  </si>
  <si>
    <t>En la implementación de obras para la mitigación del riesgo por erosión y recuperación de la capacidad hidráulica de las quebradas, para reducir la problemática por inundaciones y avenidas torrenciales se impactaron 49.951 ml en fuentes priorizadas que equivalen a 4,95 ha (que se asocian a la recuperación lineal tomando como área recuperada 1 mtr. a partir de la orilla en todo el trayecto de la obra) y 17.024 metros cuadrados que equivalen a 1.70 Hectáreas.</t>
  </si>
  <si>
    <t xml:space="preserve">4 Planes de contingencia para la mitigación y recuperación de riesgo (incendios forestales, temporada lluvias, temporada seca y eventos por derrames de sustancias y materiales peligrosos), formulados, implementados y en seguimientoiento. </t>
  </si>
  <si>
    <t>Desarrollo de 17 acciones para el fortalecimiento de los cuerpos de bomberos en los 26 municipios de la jurisdicción Cornare.
Se destacan acciones como:
Realización de capacitaciones para el fortalecimiento en atención de incendios de cobertura vegetal y manejo de enjambres.
Realización de taller en “Técnicas Básicas para el Control de Incendios de cobertura vegetal”.
Ejecución de convenios para el fortalecimiento de la gestión del riesgo para la atención de control de incendios forestales.
Apoyo interinstitucional.
Control y seguimiento Proyectos para el fortalecimiento de los cuerpos operativos regionales.
Sistematización de información para el registro de incendios de cobertura vegetal.</t>
  </si>
  <si>
    <t>Durante el año, se atendieron 76 eventos registrados, 42 por eventos de movimiento en masa, inundación, avenida torrencial y socavaciones; y 34 incendios de cobertura vegetal.</t>
  </si>
  <si>
    <t>A 31 de octubre se lleva un avance del 86% en promedio para los acuerdos establecidos; cada acuerdo tiene establecido con un comité operativo, en el cual anualmente, se elabora un Plan Operativo acorde a las líneas estratégicas establecidas en los acuerdos. Para la presente vigencia se cuenta con seis (6) planes operativos que están siendo ejecutados conforme lo planificado.</t>
  </si>
  <si>
    <t xml:space="preserve">El reconocimiento del programa progresa se realizó el 20 de septiembre de 2019, para lo cual se realizaron las siguientes gestiones:
Inscripción de las empresas a través del aplicativo dispuesto para este fin en la plataforma de la página de CORNARE.
Evaluación por parte de CORNARE de la Información Presentada por las Empresas para la Inscripción, validación y aceptación de empresas.
Contratación de los Servicios del Evaluador y Verificador Externo. ICONTEC.
Visitas de Campo a las Empresas Aceptadas en el Programa para la validación y evaluación por parte de CORNARE e ICONTEC.
</t>
  </si>
  <si>
    <t xml:space="preserve">Programa </t>
  </si>
  <si>
    <t>Cornare elaboró los lineamientos para la Incorporación de la Gestión del Cambio Climático en los instrumentos de planificación territorial, y diseñó una estrategia de trabajo con los veintiséis (26) municipios de la jurisdicción para ser socializados, incluida la Política Pública y la Ley 1931 de 2018, por lo cual el porcentaje de entes territoriales asesorados fue del 100%</t>
  </si>
  <si>
    <t>Se realizaron cuatro (4) Convocatorias por parte de la Secretaría de Ambiente de la Gobernación de Antioquia, con el fin de articular acciones para el año 2019 y se participó en las cuatro, cumpliendo con un 100% la meta. Se participó adicionalmente en un taller de la Global Green Growth Institute GGGI, en el marco de las acciones que La Gobernación de Antioquia viene adelantando para promover el crecimiento sostenible del departamento, impulsando su crecimiento económico, mientras se garantiza la sostenibilidad ambiental e inclusión social. Se realizaron los aportes pertinentes para el estudio técnico denominado “Evaluación de Potencial de Crecimiento Verde”.</t>
  </si>
  <si>
    <t xml:space="preserve"> En la feria de crecimiento verde llevada a cabo el 19 y 20 de septiembre se tuvo socializó lo relacionado con las semillas criollas</t>
  </si>
  <si>
    <t>Actualmente se están realizando acciones para beneficiar a 75 custodios con semillas de arroz secano, lo cual supera la meta del pan de acción 2016-2019 que estaba en 45 custodios en total, los beneficiarios actuales se encuentran en los municipios de: San Luis, San Francisco, San Rafael, San Roque, Argelia, Nariño y Puerto Triunfo.</t>
  </si>
  <si>
    <t>La meta planteada para 2019 es de 2000 estufas eficientes; la meta se cumplió en 100% y se construyen 130 más.  Se viene ejecutando los convenios con los 21 Municipios para la construcción de 2.130 estufas con una inversión de $3.052.585.400, donde se incluye la educación ambiental.</t>
  </si>
  <si>
    <t xml:space="preserve">Se han apoyado los procesos de construcción de planes de gestión integral del uso y manejo de plaguicidas con los siguientes seis (6) Municipios de la jurisdicción Cornare cumpliendo al 100% con la meta para la presente vigencia: Regional Páramo: Argelia y Nariño. Regional Porce – Nus: San Roque. Regional Bosques: San Luis, San Francisco y Puerto Triunfo.
</t>
  </si>
  <si>
    <t xml:space="preserve">La Oficina de Crecimiento Verde y Cambio Climático, en el marco del Acuerdo de Crecimiento Verde con el Sector Porcicultor, acompañó en la formulación del proyecto: “Sistema Termosolar para Calefacción de Lechones” en granja Román Gómez del Politécnico Jaime Isaza Cadavid, ubicada en el Municipio de Marinilla, el cual se implementó en convenio con SySen y Porkcolombia. 
</t>
  </si>
  <si>
    <t>Se realizó la caracterización y vinculación de 19 familias nuevas distribuidas en 5 municipios de la Jurisdicción Cornare: San Luis, Alejandría, Cocorná, Sonsón y Nariño.  En 2019, se ejecutó el convenio con la gobernación de Antioquia, firmado a finales del año pasado, por lo que no se incluyeron familias nuevas para esta vigencia, solo las vinculadas por aportes voluntarios de ciudadanos.</t>
  </si>
  <si>
    <t>En el 2019 se realizaron 1797 visitas de verificación y monitoreo a las familias compensadas por conservación y restauración, correspondiente al 74,48% del total de familias compensadas, lo que representa un 49% adicional a lo programado</t>
  </si>
  <si>
    <t>En el  2019 se realizó la conservación de 25.389 hectáreas de ecosistemas estratégicos que incluyen 89 hectáreas vinculadas en el semestre; evidenciando una reducción de 310 has con respecto al año 2018 (25699 hectáreas).</t>
  </si>
  <si>
    <t>En el  2019, Se fortalecieron 7 destinos turísticos, mediante convenios firmados con los siguientes municipios: San Francisco, Granada, Guarne y Sto. Domingo.  Tambien se hicieron actividades en La Unión,  San Roque, Alejandría entre otros</t>
  </si>
  <si>
    <t>Se cuenta con 15 Iniciativas fortalecidas de 15 programadas para el 2019, con un avance del 100%., adiconalmente se fortaleció otra iniciativa y se han realizado 7 talleres de formación y dos talleres de asesoría.</t>
  </si>
  <si>
    <t xml:space="preserve">Se ha implementado la ventanilla en un 100%, y el Portafolio de Servicios en un 70%.   Implementación del Formulario de Inscripción Virtual para aquellas empresas que quieran vincularse a la Ventanilla de Negocios Verdes de Cornare </t>
  </si>
  <si>
    <t>2 iniciativas fortalecidas de 2 programadas para el 2019, con un avance del 100% de la meta. Las iniciativas fortalecidas son Natural Sacha y medimiel.</t>
  </si>
  <si>
    <t>Para el 2019, el cumplimiento de esta meta fue de 85.7% ya que de las 662 has programadas para la vigencia, se realizaron actividades de restauración de ecosistemas en 567,2 has, con diferentes metodologías (restauración, rehabilitación de ecosistemas, recuperación, reconversión de sistemas productivos).</t>
  </si>
  <si>
    <t>El valor de esta meta fue modificado en la presente vigencia; se aumentó a 4000 has.  Para el 2019 se tenían programadas165.5 has y se realizaron 2615,5has.  El porcentaje de cumplimiento es de 100% y se ejecutaron 2450 has adicionales.  En total se realizaron actividades de Mantenimiento y/o Monitoreo de los procesos de restauración en: 2615,5 hectáreas</t>
  </si>
  <si>
    <t>Durante el 2019, no se presentaron a la Corporación proyectos para la adquisición de áreas estratégicas para la conservación del recurso hídrico, razón por la que no se generó ninguna financiación.  Sin embargo; respecto al mantenimiento, conservación y adquisición de predios, Cornare realizó inversiones relacionadas con el Pago por Servicios Ambientales, a través del esquema BanCO2</t>
  </si>
  <si>
    <t>esta meta ya fue cumplida en 2018</t>
  </si>
  <si>
    <t>Para la presente vigencia se tiene programada una meta de mantenimiento a 10 has de humedales; se cumplió el 100% de la meta para la vigencia; se realizó mantenimiento a 36 has de humedales; se realizó mantenimiento adicional en 26 has de humedales.</t>
  </si>
  <si>
    <t>Se realizaron 6 repoblamientos en los siguientes sitios:  Corregimiento de San Miguel (Sonsón), Rio Concepción en el Muniicipio del mismo nombre, Rio Samaná Norte, Rio Samaná Sur, Rio Las Mercedes, Rio Cocorná Sur en el corregimiento de estación Cocorná.</t>
  </si>
  <si>
    <t xml:space="preserve">Para el presente año se dio atención al 100% de las especies de fauna que entraron al hogar de paso.  Durante el primer semestre del presente año ingresaron al Hogar de Paso un total de 413 individuos de la fauna silvestre distribuidos en: 164 aves (40%), 138 reptiles (33%), 107 mamíferos (26%) y 4 Anthozoa. (1%). </t>
  </si>
  <si>
    <t>se realizaron 3 inventarios ( 2 para los SILAP de San Vicente y Cocorna) y 1 para la realinderacion de la Reserva Nare)</t>
  </si>
  <si>
    <t xml:space="preserve">el documento está pendiente de revision para publicar </t>
  </si>
  <si>
    <t>se ha realizado un gran trabajo para controlar la poblacion de hipopotamos y  caracol africano, para las especies de flora invasora se adelantó campaña masiva para el control al ojo de poeta el 27 de julio de 2019</t>
  </si>
  <si>
    <t>convenio con WCS para fortalecer los mecanismos de compensacion</t>
  </si>
  <si>
    <t>Se está implementando en un 100 % la tasa compensato</t>
  </si>
  <si>
    <t xml:space="preserve">medidas de conservación y manejo de las especies amenazadas que fueron priorizadas; algunas de las actividades se muestran a continuación: 
Para el cumplimiento de esta meta en 2019, la Corporación ha avanzado en desarrollar procesos de conservación en 5 especies en peligro de extinción, las cuales se relacionan a continuación:
1 Chelonoidis carbonarius (Tortuga Carbonaria de patas rojas) 
2 Podocnemis lewyana (Tortuga de Rio)
3 Brycon henni (Sabaleta)
4 Puma Concolor (Puma)
5 Saguinus leocopus (Titi gris)
</t>
  </si>
  <si>
    <t>Se superó en 55168.5 has con la declaratoria del paramo de vida Maitamá - Sonsón mediante Acuerdo Corpoaativo 388 del 2019, DRMI de Bosques marmoles y pantagoras mediante acuerdo corporativo 393 de 2019.</t>
  </si>
  <si>
    <t xml:space="preserve">La zonificación y régimen de usos en el área del Páramo de Sonsón, según lo establece la Resolución 886 de 2018, donde está bajo la categoría Áreas prioritarias para su conservación </t>
  </si>
  <si>
    <t xml:space="preserve">Actualmente se encuentra en ejecucion el plan de manejo de: 1. RFPR Cañones de los ríos Melcocho y Santo Domingo,  2. RFPR San Lorenzo, 3. RFPR Punchiná, 4. RFPR La Montaña, 5. DRMI Embalse Peñol – Guatapé y cuenca alta del rio Guatapé, 6. RFPR Playas, 7. DRMI Las Camelias, 8. DRMI Cuervos, 9. RFPN Rio Naré, 10. DRMI Cerros de San Nicolás </t>
  </si>
  <si>
    <t>Esta meta se cumplió al 100% en la vigencia 2018; se asigna un cumplimiento de 40% que es lo que se tenía programado para la presente vigencia.</t>
  </si>
  <si>
    <t>se han adelantado acciones conjuntas para el SIRAP EMBALSES y SIDAP EN EL SIMPOSIO DE AREAS PROTEGIDAS</t>
  </si>
  <si>
    <t>A la fecha existen diecisiete (17) Reservas Naturales de la Sociedad Civil declaradas por Parques Nacionales Naturales de Colombia (PNN) en la jurisdicción CORNARE; Cornare está realizando el acompañamiento de 9 solicitudes de reservas de la sociedad civil que ya han enviado su documentación a parques nacionales.</t>
  </si>
  <si>
    <t>Se esta en el proceso de tener 2 SILAP ( en los mpios de San Vicente y Cocorna) y en la elaboracion de la guía para formular SILAP en el oriente jurisdiccion Cornare, por parte de WWF, UCO y Cornare.</t>
  </si>
  <si>
    <t xml:space="preserve">Suscripción de 14 nuevos convenios: 112-2019(CM 397-2018B) El Jordán, 050-2019 PMAA San Luis, 051-2019 PMAA Pantanillo - Abejorral, 052-2019 PMAA La Piñuela- Cocorná, 073-2019 San Francisco, 123-2019 varios mpios., 247-2019 barrios de San Rafael, 282-2019 sectores de San Vicente, 327-2019 Versalles - Sto. Domingo,  328-2019 La Veta - San Rafael, 329-2019 arranque ptars+ Sonsòn, 330-2019 interventoria estudios PMAA Guatapé, 344-2019 segunda etapa La Concha y 358-2019 Buenos Aires - San Luis. </t>
  </si>
  <si>
    <t>Para el 2019 no se tenía programación para la presente meta; no obstante, se avanza en los estudios y diseños del Plan Maestro de Acueducto y Alcantarillado de Guatapé</t>
  </si>
  <si>
    <t xml:space="preserve">Con la información reportada se evidencia la construcción de 789 pozos nuevos y la suscripción de 6 nuevos convenios hasta 31 de octubre del presente año. </t>
  </si>
  <si>
    <t>Alimentación, revisión de Bases de datos de vertimientos, concesiones y monitoreo. No se ha migrado información al SIRH. Se continúa con el fortalecimiento SIRH y a la fecha se tienen un total de 73.738 registros reportados en diferentes componentes que hacen parte del sistema</t>
  </si>
  <si>
    <t xml:space="preserve">Se avanza en el MDE con la UdeA para levantar el diagnóstico de fuente priorizada para reglamentación de vertimientos.  Se realizó curso de capacitación en modelación de calidad y uso del aplicativo SICA a funcionarios de la Corporación. </t>
  </si>
  <si>
    <t xml:space="preserve">Durante el año 2019 se monitorearon 365 estaciones o sitios de calidad del recurso hídrico, de las cuales 32 muestras fueron tomadas en la cuenca del Río Negro, tres veces al año.   Se realizó capacitación con la agencia Comunica en Valoración de costos ambientales para 18 funcionarios de la corporación.  </t>
  </si>
  <si>
    <t xml:space="preserve">Durante el 2019 se sigue realizando el análisis de muestras y demás actividades del laboratorio de aguas, de acuerdo a la programación de servicio. </t>
  </si>
  <si>
    <t>Para el año 2019, se tenía programado el 100% de avance del inventario de emisiones; el avance ha sido del 20% mediante la actualización documental de la información requerida para alimentar el modelo y facilitar su actualización en el periodo que corrresponda.</t>
  </si>
  <si>
    <t>se vienen realizando las reuniones periódicas dentro de las cuales se destaca el encuentro Regional de Autoridades Ambientales, cuyo tema fundamental fue los sistemas de información ambiental, específicamente en materia de recurso aire el SISAIRE</t>
  </si>
  <si>
    <t xml:space="preserve">Para el 2019 se tenía programado la realización de 5 operativos a fuentes móviles; la meta se cumplió en 100% y se realizaron 19 operativos adicionales. 
Se ejecutó el contrato 390-2019, con la empresa Solumek S.A, para la realización de la verificación de las emisiones de fuentes móviles que circulan en la jurisdicción, a través de 24 operativos en la vía púbica.
</t>
  </si>
  <si>
    <t xml:space="preserve">En el año 2019, se resolvieron 11 licencias ambientales (niega, otorga o archiva), las cuals estuvieron dentro de los tiempos establecidos por Ley, obteniendo un indicador del 100%                                                                 </t>
  </si>
  <si>
    <t>De los 1.697 trámites resueltos, 1.224 cumplieron con los tiempos establecidos en el Sistema de Gestión Integral, el cual es de 57 días hábiles, logrando un indicador de oportunidad del 72 %.</t>
  </si>
  <si>
    <t xml:space="preserve">No se tienen avances en esta meta, se pretende aplazar estos estudios para el próximo PAI  </t>
  </si>
  <si>
    <t>La Subdirección General de Servicio al Cliente a octubre 31 de 2019, ha detectado en atención y seguimiento a quejas de tipo ambiental; diecisiete (17) beneficiarios que hacían uso ilegal del recurso hídrico, de los cuales se ha legalizado uno (1) equivalente al 5.88%.</t>
  </si>
  <si>
    <t>Para el año 2019, se programaron 478 acciones de control y seguimiento a Licencias Ambientales, de las cuales al 31 de octubre se realizaron 237 acciones, correspondiente al 49,6 % de avance de cumplimiento.</t>
  </si>
  <si>
    <t>Para el año 2019, se programaron 96 acciones de control y seguimiento a planes quinquenales relacionados con licencias ambientales, de los cuales, al 31 de octubre de 2019, se realizaron 48 acciones, para una ejecución del 50%.</t>
  </si>
  <si>
    <t>hasta el 31 de octubre del año 2019, el porcentaje de avance del control y seguimiento realizado a las licencias ambientales no teniendo en cuenta los seguimientos realizados a planes quinquenales es del 19%, puesto que se programaron 986 acciones para el año 2019 y se ejecutaron 189 acciones.</t>
  </si>
  <si>
    <t>Al 31 de octubre de 2019, se han realizado 1770 acciones de control y seguimiento a los permisos y/o autorizaciones ambientales, de las 1733 acciones programadas en el Plan control, obteniendo un avance de ejecución Corporativo del 102,10%.</t>
  </si>
  <si>
    <t>26 acciones realizadas / 26 acciones programadas</t>
  </si>
  <si>
    <t>335 acciones realizadas / 364 acciones programadas</t>
  </si>
  <si>
    <t>1409 acciones realizadas / 1343 acciones programadas. Se ejecutó un 141% mas de lo programado.</t>
  </si>
  <si>
    <t>Para otras actividades ambientales que no requieren permiso pero que son objeto de Control y Seguimiento por parte de La Corporación, en lo corrido del año, se han realizado 608 acciones frente a las 530 acciones programadas, correspondiente al 114,7% de ejecución.</t>
  </si>
  <si>
    <t>Para el año 2019, el Grupo de Residuos proyectó un total de 142acciones de control y seguimiento, de las cuales al 31 de octubre se han realizado 484 acciones. Se realizaron acciones adicionales en un 200%.</t>
  </si>
  <si>
    <t>En el proceso de control y seguimiento, se han evaluado los informes de caracterización de vertimientos presentados por los usuarios, a partir de lo cual se emite concepto del cumplimiento de la Resolución 631/2015</t>
  </si>
  <si>
    <t>Para el año 2019, en el Plan control se programaron 246 acciones de control y seguimiento, de las cuales se han realizado 255 acciones, correspondientes al100% de ejecución. Se realizaron un 3% de acciones adicionales.</t>
  </si>
  <si>
    <t xml:space="preserve">  Se Cumplió con el 100% de lo programado se incrementaron los controloes en el AJMC y las regionales. En el año 2019, se realizaron 44 acciones adicionales.</t>
  </si>
  <si>
    <t>Desde el Grupo de Recursos Bosques y Biodiversidad, se realiza control y seguimiento al 100% de los libros de operaciones registrados en el SILOP, cuyos informes técnicos son emitidos también de manera virtual, con lo cual se ha venido dando cumplimiento a la meta.</t>
  </si>
  <si>
    <t xml:space="preserve">Para esta meta, el grupo de Ordenamiento Territorial y Gestión del Riesgo, programó 36 acciones de control y seguimiento, de las cuales realizó en el primer semestre 1 acción a un proyecto minero en proceso de legalización, logrando un avance de cumplimiento del 3,6% del plan anual. </t>
  </si>
  <si>
    <t>Se ha atendido las 59 quejas, lo que equivale al 100% del total de las recepcionadas por minería ilegal durante la vigencia</t>
  </si>
  <si>
    <t>Al 31 de octubre de 2019, se atendieron 996 quejas con criterio de opoirtunidad. En total se atndieron 1222 quejas tipo 1 y tipo 2.</t>
  </si>
  <si>
    <t>A fecha octubre 31 de 2019 el porcentaje de cumplimiento del Plan Control a quejas ambientales a nivel región en el 2019: es del 88,69%; de 716 actuaciones, visitas, evaluaciones o valoraciones programadas se ha ejecutado 635.</t>
  </si>
  <si>
    <t>En el año 2019, se ha realizado control y seguimiento a los cuatro (4) PRIO aprobados, por lo cual el indicador de cumplimiento es del 100%.</t>
  </si>
  <si>
    <t>En la vigencia 2019 se han realizado adiciones presupuestales, lo que nos muestra un presupuesto definitivo a octubre 31, por valor de $85.145 millones de pesos.
Esta variación presupuestal, se da principalmente en la adición de recursos provenientes de: convenios interadministrativos y de cofinanciación por valor de $2.391 millones de pesos, $9.781 millones de pesos en recursos del balance y multas y sanciones de $919 millones de pesos, presentando un incremento con respecto al presupuesto inicial de $13.091 millones de pesos con una variación positiva del 18%.
De este presupuesto de ingresos definitivo a 31 de octubre de 2019, se recaudaron $74.749 millones de pesos; lo que indica que el porcentaje de cumplimiento del presupuesto de ingresos es del 88%.</t>
  </si>
  <si>
    <t>A octubre de los $85.145 millones de pesos, se han comprometido $73.008 millones de pesos,</t>
  </si>
  <si>
    <t>Esta meta se cumplio en el año 2018.</t>
  </si>
  <si>
    <t>Consolidación de la línea base para el conocimiento de la oferta y calidad de aguas subterráneas</t>
  </si>
  <si>
    <t>VIGENCIA EVALUADA (AÑO): 2019  PERIODO EVALUADO (SEMESTRE): Semestre II</t>
  </si>
  <si>
    <t>A través de instituciones públicas y privadas, entre otras: Gobernación de Antioquia, los 26 municipios de la jurisdicción, CORPOURABA, AMVA, Corantioquia, Empresas de Servicios Públicos de los Municipios, ONGs, EPM, Argos, ISAGEN, se logró la consecución de recursos por valor de $ 29.719.792.917, de los cuales $ 1.722.055.182 son en especie y $ 27.997.737.735 en dinero; logrando una ejecución de la meta del 99%.</t>
  </si>
  <si>
    <t>Realizar 30 eventos regionales de Capacitación y sensibilización a educadores, facilitadores y dinamizadores ambientales.</t>
  </si>
  <si>
    <t>Promover 14 encuentros regionales para  Organizaciones Sociales y Comunitarias enfocadas en el área ambiental.</t>
  </si>
  <si>
    <t>129 proyectos ambientales ejecutados por Juntas de Acción Comunal (JAC) o Aso comunales.</t>
  </si>
  <si>
    <t>Promoción de 80 Proyectos de reconversión Tecnológica de mejoramiento ambiental para acceder a incentivos tributarios (transformación de residuos, eficiencia energética, entre otros)</t>
  </si>
  <si>
    <t xml:space="preserve"> Fortalecer (70) iniciativas de turismo de la región como negocios verdes, como: Corredores ecológicos, ecoturismo, agroturismo, ruta de caminantes, entre otros. </t>
  </si>
  <si>
    <t>Fortalecer (15) iniciativas de negocios verdes de especies con tradición cultural (fique, café, Panela, palma, jagua, sacha inchi, moringa y apicultura, entre otros)</t>
  </si>
  <si>
    <t>Desarrollo de estrategias de Restauración en 17100 hectáreas (Proyectos Forestales Sostenibles, Agroecológicos, Conectividad, Enriquecimiento, Aislamiento)</t>
  </si>
  <si>
    <t>Desarrollo de un Plan de Monitoreo y/o mantenimiento en 4000 hectáreas en procesos de Restauración</t>
  </si>
  <si>
    <t>Monitoreo, Recuperación y Mantenimiento de 72,5 hectáreas a los ecosistemas de Humedales</t>
  </si>
  <si>
    <t>Declaratoria de 75.000 ha Nuevas de Áreas Protegidas</t>
  </si>
  <si>
    <t xml:space="preserve">Elaboración y/o actualización de 17 Planes de Manejo (con. Decreto 2372). </t>
  </si>
  <si>
    <t>Apoyo a 19 Declaratorias de Reservas Naturales de la Sociedad Civil (RNSC)</t>
  </si>
  <si>
    <r>
      <rPr>
        <u/>
        <sz val="8"/>
        <rFont val="Arial"/>
        <family val="2"/>
      </rPr>
      <t xml:space="preserve">7500 </t>
    </r>
    <r>
      <rPr>
        <sz val="8"/>
        <rFont val="Arial"/>
        <family val="2"/>
      </rPr>
      <t>Acciones de Control y Seguimiento a las autorizaciones ambientales en los sectores primario, secundario y terciario de la economía. (concesiones de agua, permisos de vertimiento, ocupación de cauce, emisiones atmosféricas, estudio de RR NN, PSMV, acueductos, planes de ahorro y uso eficiente del agua (PUEAA), proyectos urbanísticos, CDA, entre otros)</t>
    </r>
  </si>
  <si>
    <r>
      <rPr>
        <u/>
        <sz val="8"/>
        <rFont val="Arial"/>
        <family val="2"/>
      </rPr>
      <t>2700</t>
    </r>
    <r>
      <rPr>
        <sz val="8"/>
        <rFont val="Arial"/>
        <family val="2"/>
      </rPr>
      <t xml:space="preserve"> Acciones de Control y seguimiento a otras actividades ambientales (movimientos de tierra, escombreras, centros de faenado, actividades con emisiones que no requieren permiso, entre otras)</t>
    </r>
  </si>
  <si>
    <r>
      <rPr>
        <u/>
        <sz val="8"/>
        <rFont val="Arial"/>
        <family val="2"/>
      </rPr>
      <t>950</t>
    </r>
    <r>
      <rPr>
        <sz val="8"/>
        <rFont val="Arial"/>
        <family val="2"/>
      </rPr>
      <t xml:space="preserve"> Acciones de Control y seguimiento proyectos y/o actividades de manejo y disposición de residuos solidos ( PGIRS, Planes de manejo rellenos sanitarios, PGRH y Similares, RESPEL)</t>
    </r>
  </si>
  <si>
    <r>
      <rPr>
        <u/>
        <sz val="8"/>
        <rFont val="Arial"/>
        <family val="2"/>
      </rPr>
      <t xml:space="preserve">1250 </t>
    </r>
    <r>
      <rPr>
        <sz val="8"/>
        <rFont val="Arial"/>
        <family val="2"/>
      </rPr>
      <t xml:space="preserve">Acciones de Control y seguimiento a actividades relacionadas con flora y fauna. </t>
    </r>
  </si>
  <si>
    <r>
      <rPr>
        <u/>
        <sz val="8"/>
        <rFont val="Arial"/>
        <family val="2"/>
      </rPr>
      <t>290</t>
    </r>
    <r>
      <rPr>
        <sz val="8"/>
        <rFont val="Arial"/>
        <family val="2"/>
      </rPr>
      <t xml:space="preserve"> Acciones de control al trafico ilegal de los recursos naturales </t>
    </r>
  </si>
  <si>
    <r>
      <t xml:space="preserve">(12)
AVANCE DE LA META
FINANCIERA
(Recursos comprometidos periodo Evaluado)
($)
Avance financiero :
</t>
    </r>
    <r>
      <rPr>
        <b/>
        <sz val="12"/>
        <rFont val="Arial"/>
        <family val="2"/>
      </rPr>
      <t>a 31 de OCTUBRE</t>
    </r>
    <r>
      <rPr>
        <b/>
        <sz val="8"/>
        <rFont val="Arial"/>
        <family val="2"/>
      </rPr>
      <t xml:space="preserve">
</t>
    </r>
  </si>
  <si>
    <r>
      <t xml:space="preserve">(15)
ACUMULADO DE LA META
FINANCIERA
$
</t>
    </r>
    <r>
      <rPr>
        <b/>
        <sz val="12"/>
        <rFont val="Arial"/>
        <family val="2"/>
      </rPr>
      <t>a 31 de OCTUBRE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</si>
</sst>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6" formatCode="&quot;$&quot;\ #,##0;[Red]\-&quot;$&quot;\ #,##0"/>
    <numFmt numFmtId="42" formatCode="_-&quot;$&quot;\ * #,##0_-;\-&quot;$&quot;\ * #,##0_-;_-&quot;$&quot;\ * &quot;-&quot;_-;_-@_-"/>
    <numFmt numFmtId="41" formatCode="_-* #,##0_-;\-* #,##0_-;_-* &quot;-&quot;_-;_-@_-"/>
    <numFmt numFmtId="43" formatCode="_-* #,##0.00_-;\-* #,##0.00_-;_-* &quot;-&quot;??_-;_-@_-"/>
    <numFmt numFmtId="164" formatCode="_-* #,##0.00\ _€_-;\-* #,##0.00\ _€_-;_-* &quot;-&quot;??\ _€_-;_-@_-"/>
    <numFmt numFmtId="165" formatCode="_-&quot;$&quot;* #,##0.00_-;\-&quot;$&quot;* #,##0.00_-;_-&quot;$&quot;* &quot;-&quot;??_-;_-@_-"/>
    <numFmt numFmtId="166" formatCode="_(&quot;$&quot;\ * #,##0_);_(&quot;$&quot;\ * \(#,##0\);_(&quot;$&quot;\ * &quot;-&quot;_);_(@_)"/>
    <numFmt numFmtId="167" formatCode="_(&quot;$&quot;\ * #,##0.00_);_(&quot;$&quot;\ * \(#,##0.00\);_(&quot;$&quot;\ * &quot;-&quot;??_);_(@_)"/>
    <numFmt numFmtId="168" formatCode="0.0%"/>
    <numFmt numFmtId="169" formatCode="#,##0.0"/>
    <numFmt numFmtId="170" formatCode="&quot; &quot;#,##0&quot;   &quot;;&quot;-&quot;#,##0&quot;   &quot;;&quot; -   &quot;;&quot; &quot;@&quot; &quot;"/>
    <numFmt numFmtId="171" formatCode="_-&quot;$&quot;* #,##0_-;\-&quot;$&quot;* #,##0_-;_-&quot;$&quot;* &quot;-&quot;??_-;_-@_-"/>
    <numFmt numFmtId="172" formatCode="0.0"/>
    <numFmt numFmtId="173" formatCode="&quot;$&quot;#,##0"/>
  </numFmts>
  <fonts count="27" x14ac:knownFonts="1">
    <font>
      <sz val="11"/>
      <color theme="1"/>
      <name val="Calibri"/>
      <family val="2"/>
      <scheme val="minor"/>
    </font>
    <font>
      <u/>
      <sz val="11"/>
      <color theme="10"/>
      <name val="Calibri"/>
      <family val="2"/>
      <scheme val="minor"/>
    </font>
    <font>
      <sz val="11"/>
      <color theme="1"/>
      <name val="Calibri"/>
      <family val="2"/>
      <scheme val="minor"/>
    </font>
    <font>
      <b/>
      <sz val="11"/>
      <color theme="1"/>
      <name val="Calibri"/>
      <family val="2"/>
      <scheme val="minor"/>
    </font>
    <font>
      <sz val="10"/>
      <name val="Arial Narrow"/>
      <family val="2"/>
    </font>
    <font>
      <b/>
      <sz val="12"/>
      <name val="Arial Narrow"/>
      <family val="2"/>
    </font>
    <font>
      <sz val="10"/>
      <name val="Arial"/>
      <family val="2"/>
    </font>
    <font>
      <sz val="10"/>
      <name val="Arial"/>
      <family val="2"/>
    </font>
    <font>
      <sz val="8"/>
      <name val="Arial"/>
      <family val="2"/>
    </font>
    <font>
      <b/>
      <sz val="8"/>
      <name val="Arial"/>
      <family val="2"/>
    </font>
    <font>
      <sz val="10"/>
      <name val="Arial"/>
      <family val="2"/>
    </font>
    <font>
      <sz val="11"/>
      <color indexed="8"/>
      <name val="Calibri"/>
      <family val="2"/>
    </font>
    <font>
      <b/>
      <sz val="10"/>
      <color indexed="10"/>
      <name val="Arial Narrow"/>
      <family val="2"/>
    </font>
    <font>
      <sz val="11"/>
      <color rgb="FF000000"/>
      <name val="Calibri"/>
      <family val="2"/>
    </font>
    <font>
      <sz val="11"/>
      <color rgb="FFFFFFFF"/>
      <name val="Calibri"/>
      <family val="2"/>
    </font>
    <font>
      <u/>
      <sz val="11"/>
      <color theme="11"/>
      <name val="Calibri"/>
      <family val="2"/>
      <scheme val="minor"/>
    </font>
    <font>
      <sz val="10"/>
      <name val="Arial"/>
      <family val="2"/>
    </font>
    <font>
      <u/>
      <sz val="8"/>
      <name val="Arial"/>
      <family val="2"/>
    </font>
    <font>
      <b/>
      <sz val="9"/>
      <name val="Arial Narrow"/>
      <family val="2"/>
    </font>
    <font>
      <b/>
      <sz val="7"/>
      <name val="Arial Narrow"/>
      <family val="2"/>
    </font>
    <font>
      <sz val="7"/>
      <name val="Arial Narrow"/>
      <family val="2"/>
    </font>
    <font>
      <u/>
      <sz val="7"/>
      <name val="Arial Narrow"/>
      <family val="2"/>
    </font>
    <font>
      <b/>
      <sz val="9"/>
      <color indexed="81"/>
      <name val="Tahoma"/>
      <family val="2"/>
    </font>
    <font>
      <sz val="9"/>
      <color indexed="81"/>
      <name val="Tahoma"/>
      <family val="2"/>
    </font>
    <font>
      <sz val="8"/>
      <name val="Calibri"/>
      <family val="2"/>
      <scheme val="minor"/>
    </font>
    <font>
      <sz val="8"/>
      <name val="Calibri"/>
      <family val="2"/>
    </font>
    <font>
      <b/>
      <sz val="12"/>
      <name val="Arial"/>
      <family val="2"/>
    </font>
  </fonts>
  <fills count="3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249977111117893"/>
        <bgColor indexed="64"/>
      </patternFill>
    </fill>
    <fill>
      <patternFill patternType="solid">
        <fgColor indexed="41"/>
        <bgColor indexed="64"/>
      </patternFill>
    </fill>
    <fill>
      <patternFill patternType="solid">
        <fgColor indexed="42"/>
        <bgColor indexed="64"/>
      </patternFill>
    </fill>
    <fill>
      <patternFill patternType="solid">
        <fgColor indexed="13"/>
        <bgColor indexed="64"/>
      </patternFill>
    </fill>
    <fill>
      <patternFill patternType="solid">
        <fgColor indexed="9"/>
        <bgColor indexed="64"/>
      </patternFill>
    </fill>
    <fill>
      <patternFill patternType="solid">
        <fgColor indexed="40"/>
        <bgColor indexed="64"/>
      </patternFill>
    </fill>
    <fill>
      <patternFill patternType="solid">
        <fgColor indexed="47"/>
        <bgColor indexed="64"/>
      </patternFill>
    </fill>
    <fill>
      <patternFill patternType="solid">
        <fgColor indexed="50"/>
        <bgColor indexed="64"/>
      </patternFill>
    </fill>
    <fill>
      <patternFill patternType="solid">
        <fgColor indexed="53"/>
        <bgColor indexed="64"/>
      </patternFill>
    </fill>
    <fill>
      <patternFill patternType="solid">
        <fgColor indexed="46"/>
        <bgColor indexed="64"/>
      </patternFill>
    </fill>
    <fill>
      <patternFill patternType="solid">
        <fgColor indexed="14"/>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rgb="FF00FF00"/>
        <bgColor rgb="FF00FF00"/>
      </patternFill>
    </fill>
    <fill>
      <patternFill patternType="solid">
        <fgColor rgb="FFFFFF00"/>
        <bgColor rgb="FFFFFF00"/>
      </patternFill>
    </fill>
    <fill>
      <patternFill patternType="solid">
        <fgColor rgb="FFFF0000"/>
        <bgColor rgb="FFFF0000"/>
      </patternFill>
    </fill>
    <fill>
      <patternFill patternType="solid">
        <fgColor indexed="49"/>
        <bgColor indexed="64"/>
      </patternFill>
    </fill>
    <fill>
      <patternFill patternType="solid">
        <fgColor rgb="FFBA8CDC"/>
        <bgColor indexed="64"/>
      </patternFill>
    </fill>
    <fill>
      <patternFill patternType="solid">
        <fgColor rgb="FFCC99FF"/>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5" tint="0.79998168889431442"/>
        <bgColor indexed="64"/>
      </patternFill>
    </fill>
  </fills>
  <borders count="29">
    <border>
      <left/>
      <right/>
      <top/>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auto="1"/>
      </left>
      <right/>
      <top style="medium">
        <color auto="1"/>
      </top>
      <bottom/>
      <diagonal/>
    </border>
    <border>
      <left/>
      <right style="medium">
        <color indexed="8"/>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top style="thin">
        <color rgb="FF000000"/>
      </top>
      <bottom style="thin">
        <color rgb="FF000000"/>
      </bottom>
      <diagonal/>
    </border>
    <border>
      <left style="thin">
        <color auto="1"/>
      </left>
      <right style="thin">
        <color auto="1"/>
      </right>
      <top/>
      <bottom/>
      <diagonal/>
    </border>
    <border>
      <left style="thin">
        <color auto="1"/>
      </left>
      <right style="thin">
        <color auto="1"/>
      </right>
      <top/>
      <bottom style="thin">
        <color rgb="FF000000"/>
      </bottom>
      <diagonal/>
    </border>
    <border>
      <left style="thin">
        <color auto="1"/>
      </left>
      <right style="thin">
        <color auto="1"/>
      </right>
      <top style="thin">
        <color rgb="FF000000"/>
      </top>
      <bottom/>
      <diagonal/>
    </border>
  </borders>
  <cellStyleXfs count="49">
    <xf numFmtId="0" fontId="0" fillId="0" borderId="0"/>
    <xf numFmtId="0" fontId="1" fillId="0" borderId="0" applyNumberFormat="0" applyFill="0" applyBorder="0" applyAlignment="0" applyProtection="0"/>
    <xf numFmtId="9" fontId="2" fillId="0" borderId="0" applyFont="0" applyFill="0" applyBorder="0" applyAlignment="0" applyProtection="0"/>
    <xf numFmtId="0" fontId="6" fillId="0" borderId="0"/>
    <xf numFmtId="0" fontId="7" fillId="0" borderId="0"/>
    <xf numFmtId="0" fontId="6" fillId="0" borderId="0"/>
    <xf numFmtId="0" fontId="10" fillId="0" borderId="0"/>
    <xf numFmtId="9" fontId="11" fillId="0" borderId="0" applyFont="0" applyFill="0" applyBorder="0" applyAlignment="0" applyProtection="0"/>
    <xf numFmtId="9" fontId="10" fillId="0" borderId="0" applyFont="0" applyFill="0" applyBorder="0" applyAlignment="0" applyProtection="0"/>
    <xf numFmtId="0" fontId="13" fillId="0" borderId="0"/>
    <xf numFmtId="164" fontId="10" fillId="0" borderId="0" applyFont="0" applyFill="0" applyBorder="0" applyAlignment="0" applyProtection="0"/>
    <xf numFmtId="0" fontId="6" fillId="0" borderId="0"/>
    <xf numFmtId="0" fontId="11" fillId="18" borderId="0" applyNumberFormat="0" applyFont="0" applyBorder="0" applyAlignment="0" applyProtection="0"/>
    <xf numFmtId="0" fontId="11" fillId="19" borderId="0" applyNumberFormat="0" applyFon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1" fillId="18" borderId="0" applyNumberFormat="0" applyFont="0" applyBorder="0" applyAlignment="0" applyProtection="0"/>
    <xf numFmtId="0" fontId="13" fillId="18" borderId="0" applyNumberFormat="0" applyBorder="0" applyAlignment="0" applyProtection="0"/>
    <xf numFmtId="170"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0" fontId="15" fillId="0" borderId="0" applyNumberFormat="0" applyFill="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16" fillId="0" borderId="0"/>
    <xf numFmtId="165"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6" fillId="0" borderId="0"/>
    <xf numFmtId="43" fontId="2" fillId="0" borderId="0" applyFont="0" applyFill="0" applyBorder="0" applyAlignment="0" applyProtection="0"/>
    <xf numFmtId="41" fontId="2"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cellStyleXfs>
  <cellXfs count="265">
    <xf numFmtId="0" fontId="0" fillId="0" borderId="0" xfId="0"/>
    <xf numFmtId="0" fontId="4" fillId="0" borderId="0" xfId="0" applyFont="1" applyFill="1" applyAlignment="1">
      <alignment vertical="center" wrapText="1"/>
    </xf>
    <xf numFmtId="0" fontId="4" fillId="0" borderId="0" xfId="0" applyFont="1" applyBorder="1" applyAlignment="1">
      <alignment vertical="center"/>
    </xf>
    <xf numFmtId="0" fontId="0" fillId="0" borderId="0" xfId="0" applyAlignment="1">
      <alignment vertical="center"/>
    </xf>
    <xf numFmtId="0" fontId="3" fillId="0" borderId="4" xfId="0" applyFont="1" applyBorder="1" applyAlignment="1">
      <alignment vertical="center"/>
    </xf>
    <xf numFmtId="0" fontId="0" fillId="0" borderId="5" xfId="0" applyBorder="1" applyAlignment="1">
      <alignment vertical="center"/>
    </xf>
    <xf numFmtId="0" fontId="3" fillId="0" borderId="6" xfId="0" applyFont="1" applyBorder="1" applyAlignment="1">
      <alignment vertical="center"/>
    </xf>
    <xf numFmtId="0" fontId="0" fillId="0" borderId="7" xfId="0" applyBorder="1" applyAlignment="1">
      <alignment vertical="center"/>
    </xf>
    <xf numFmtId="0" fontId="3" fillId="0" borderId="8" xfId="0" applyFont="1" applyBorder="1" applyAlignment="1">
      <alignment vertical="center"/>
    </xf>
    <xf numFmtId="0" fontId="0" fillId="0" borderId="9" xfId="0" applyBorder="1" applyAlignment="1">
      <alignment vertical="center"/>
    </xf>
    <xf numFmtId="0" fontId="4" fillId="4" borderId="2" xfId="0" applyFont="1" applyFill="1" applyBorder="1" applyAlignment="1">
      <alignment vertical="center" wrapText="1"/>
    </xf>
    <xf numFmtId="0" fontId="4" fillId="4" borderId="3" xfId="0" applyFont="1" applyFill="1" applyBorder="1" applyAlignment="1">
      <alignment vertical="center" wrapText="1"/>
    </xf>
    <xf numFmtId="0" fontId="4" fillId="4" borderId="1" xfId="0" applyFont="1" applyFill="1" applyBorder="1" applyAlignment="1">
      <alignment vertical="center" wrapText="1"/>
    </xf>
    <xf numFmtId="0" fontId="1" fillId="0" borderId="7" xfId="1" applyBorder="1" applyAlignment="1">
      <alignment vertical="center"/>
    </xf>
    <xf numFmtId="0" fontId="8" fillId="0" borderId="0" xfId="30" applyFont="1" applyFill="1" applyAlignment="1">
      <alignment vertical="center" wrapText="1"/>
    </xf>
    <xf numFmtId="0" fontId="8" fillId="0" borderId="0" xfId="30" applyFont="1" applyBorder="1" applyAlignment="1">
      <alignment vertical="center"/>
    </xf>
    <xf numFmtId="3" fontId="8" fillId="7" borderId="0" xfId="30" applyNumberFormat="1" applyFont="1" applyFill="1" applyAlignment="1">
      <alignment vertical="center" wrapText="1"/>
    </xf>
    <xf numFmtId="9" fontId="8" fillId="2" borderId="11" xfId="0" applyNumberFormat="1" applyFont="1" applyFill="1" applyBorder="1" applyAlignment="1">
      <alignment horizontal="justify" vertical="center" wrapText="1"/>
    </xf>
    <xf numFmtId="3" fontId="8" fillId="21" borderId="0" xfId="30" applyNumberFormat="1" applyFont="1" applyFill="1" applyAlignment="1">
      <alignment vertical="center" wrapText="1"/>
    </xf>
    <xf numFmtId="3" fontId="8" fillId="12" borderId="0" xfId="30" applyNumberFormat="1" applyFont="1" applyFill="1" applyAlignment="1">
      <alignment vertical="center" wrapText="1"/>
    </xf>
    <xf numFmtId="3" fontId="8" fillId="11" borderId="0" xfId="30" applyNumberFormat="1" applyFont="1" applyFill="1" applyAlignment="1">
      <alignment vertical="center" wrapText="1"/>
    </xf>
    <xf numFmtId="3" fontId="8" fillId="9" borderId="0" xfId="30" applyNumberFormat="1" applyFont="1" applyFill="1" applyAlignment="1">
      <alignment vertical="center" wrapText="1"/>
    </xf>
    <xf numFmtId="3" fontId="8" fillId="8" borderId="0" xfId="30" applyNumberFormat="1" applyFont="1" applyFill="1" applyAlignment="1">
      <alignment vertical="center" wrapText="1"/>
    </xf>
    <xf numFmtId="0" fontId="8" fillId="8" borderId="0" xfId="30" applyFont="1" applyFill="1" applyAlignment="1">
      <alignment vertical="center" wrapText="1"/>
    </xf>
    <xf numFmtId="0" fontId="8" fillId="8" borderId="0" xfId="30" applyFont="1" applyFill="1" applyBorder="1" applyAlignment="1">
      <alignment vertical="center" wrapText="1"/>
    </xf>
    <xf numFmtId="3" fontId="8" fillId="0" borderId="0" xfId="30" applyNumberFormat="1" applyFont="1" applyFill="1" applyAlignment="1">
      <alignment vertical="center" wrapText="1"/>
    </xf>
    <xf numFmtId="9" fontId="8" fillId="8" borderId="11" xfId="30" applyNumberFormat="1" applyFont="1" applyFill="1" applyBorder="1" applyAlignment="1" applyProtection="1">
      <alignment horizontal="center" vertical="center" wrapText="1"/>
    </xf>
    <xf numFmtId="9" fontId="8" fillId="0" borderId="11" xfId="7" applyFont="1" applyFill="1" applyBorder="1" applyAlignment="1">
      <alignment horizontal="center" vertical="center" wrapText="1"/>
    </xf>
    <xf numFmtId="0" fontId="9" fillId="16" borderId="11" xfId="30" applyFont="1" applyFill="1" applyBorder="1" applyAlignment="1">
      <alignment horizontal="center" vertical="center" wrapText="1"/>
    </xf>
    <xf numFmtId="0" fontId="9" fillId="15" borderId="11" xfId="30" applyFont="1" applyFill="1" applyBorder="1" applyAlignment="1">
      <alignment horizontal="center" vertical="center" wrapText="1"/>
    </xf>
    <xf numFmtId="0" fontId="9" fillId="14" borderId="11" xfId="30" applyFont="1" applyFill="1" applyBorder="1" applyAlignment="1">
      <alignment horizontal="center" vertical="center" wrapText="1"/>
    </xf>
    <xf numFmtId="9" fontId="8" fillId="8" borderId="11" xfId="30" applyNumberFormat="1" applyFont="1" applyFill="1" applyBorder="1" applyAlignment="1" applyProtection="1">
      <alignment horizontal="center" vertical="center" wrapText="1"/>
      <protection hidden="1"/>
    </xf>
    <xf numFmtId="0" fontId="8" fillId="0" borderId="11" xfId="11" applyFont="1" applyFill="1" applyBorder="1" applyAlignment="1">
      <alignment horizontal="center" vertical="center" wrapText="1"/>
    </xf>
    <xf numFmtId="9" fontId="8" fillId="24" borderId="11" xfId="30" applyNumberFormat="1" applyFont="1" applyFill="1" applyBorder="1" applyAlignment="1">
      <alignment horizontal="justify" vertical="center" wrapText="1"/>
    </xf>
    <xf numFmtId="169" fontId="8" fillId="8" borderId="11" xfId="30" applyNumberFormat="1" applyFont="1" applyFill="1" applyBorder="1" applyAlignment="1" applyProtection="1">
      <alignment horizontal="center" vertical="center" wrapText="1"/>
    </xf>
    <xf numFmtId="0" fontId="8" fillId="0" borderId="11" xfId="2" applyNumberFormat="1" applyFont="1" applyFill="1" applyBorder="1" applyAlignment="1">
      <alignment horizontal="center" vertical="center" wrapText="1"/>
    </xf>
    <xf numFmtId="9" fontId="8" fillId="3" borderId="11" xfId="31" applyFont="1" applyFill="1" applyBorder="1" applyAlignment="1">
      <alignment horizontal="center" vertical="center" wrapText="1"/>
    </xf>
    <xf numFmtId="0" fontId="8" fillId="0" borderId="11" xfId="30" applyFont="1" applyFill="1" applyBorder="1" applyAlignment="1" applyProtection="1">
      <alignment horizontal="center" vertical="center" wrapText="1"/>
    </xf>
    <xf numFmtId="3" fontId="9" fillId="6" borderId="11" xfId="30" applyNumberFormat="1" applyFont="1" applyFill="1" applyBorder="1" applyAlignment="1">
      <alignment horizontal="center" vertical="center" wrapText="1"/>
    </xf>
    <xf numFmtId="42" fontId="8" fillId="0" borderId="0" xfId="30" applyNumberFormat="1" applyFont="1" applyFill="1" applyAlignment="1">
      <alignment vertical="center" wrapText="1"/>
    </xf>
    <xf numFmtId="0" fontId="6" fillId="0" borderId="0" xfId="3" applyAlignment="1">
      <alignment vertical="center"/>
    </xf>
    <xf numFmtId="0" fontId="19" fillId="6" borderId="20" xfId="3" applyFont="1" applyFill="1" applyBorder="1" applyAlignment="1">
      <alignment horizontal="center" vertical="center" wrapText="1"/>
    </xf>
    <xf numFmtId="0" fontId="19" fillId="0" borderId="21" xfId="3" applyFont="1" applyBorder="1" applyAlignment="1">
      <alignment vertical="center" wrapText="1"/>
    </xf>
    <xf numFmtId="0" fontId="20" fillId="0" borderId="21" xfId="3" applyFont="1" applyBorder="1" applyAlignment="1">
      <alignment horizontal="justify" vertical="center" wrapText="1"/>
    </xf>
    <xf numFmtId="0" fontId="19" fillId="0" borderId="22" xfId="3" applyFont="1" applyBorder="1" applyAlignment="1">
      <alignment vertical="center" wrapText="1"/>
    </xf>
    <xf numFmtId="0" fontId="20" fillId="0" borderId="22" xfId="3" applyFont="1" applyBorder="1" applyAlignment="1">
      <alignment horizontal="justify" vertical="center" wrapText="1"/>
    </xf>
    <xf numFmtId="0" fontId="8" fillId="3" borderId="24" xfId="30" applyFont="1" applyFill="1" applyBorder="1" applyAlignment="1" applyProtection="1">
      <alignment horizontal="center" vertical="center" wrapText="1"/>
    </xf>
    <xf numFmtId="9" fontId="8" fillId="3" borderId="24" xfId="31" applyFont="1" applyFill="1" applyBorder="1" applyAlignment="1">
      <alignment horizontal="center" vertical="center" wrapText="1"/>
    </xf>
    <xf numFmtId="0" fontId="9" fillId="7" borderId="11" xfId="30" applyFont="1" applyFill="1" applyBorder="1" applyAlignment="1">
      <alignment horizontal="center" vertical="center" wrapText="1"/>
    </xf>
    <xf numFmtId="6" fontId="8" fillId="2" borderId="11" xfId="0" applyNumberFormat="1" applyFont="1" applyFill="1" applyBorder="1" applyAlignment="1">
      <alignment horizontal="justify" vertical="center" wrapText="1"/>
    </xf>
    <xf numFmtId="0" fontId="8" fillId="3" borderId="11" xfId="30" applyFont="1" applyFill="1" applyBorder="1" applyAlignment="1" applyProtection="1">
      <alignment horizontal="center" vertical="center" wrapText="1"/>
      <protection hidden="1"/>
    </xf>
    <xf numFmtId="0" fontId="8" fillId="3" borderId="11" xfId="11" applyFont="1" applyFill="1" applyBorder="1" applyAlignment="1">
      <alignment horizontal="center" vertical="center" wrapText="1"/>
    </xf>
    <xf numFmtId="1" fontId="8" fillId="23" borderId="25" xfId="0" applyNumberFormat="1" applyFont="1" applyFill="1" applyBorder="1" applyAlignment="1">
      <alignment horizontal="justify" vertical="center" wrapText="1"/>
    </xf>
    <xf numFmtId="9" fontId="8" fillId="28" borderId="11" xfId="0" applyNumberFormat="1" applyFont="1" applyFill="1" applyBorder="1" applyAlignment="1">
      <alignment horizontal="justify" vertical="center" wrapText="1"/>
    </xf>
    <xf numFmtId="9" fontId="8" fillId="27" borderId="11" xfId="2" applyFont="1" applyFill="1" applyBorder="1" applyAlignment="1">
      <alignment horizontal="justify" vertical="center" wrapText="1"/>
    </xf>
    <xf numFmtId="3" fontId="8" fillId="8" borderId="11" xfId="30" applyNumberFormat="1" applyFont="1" applyFill="1" applyBorder="1" applyAlignment="1">
      <alignment horizontal="center" vertical="center" wrapText="1"/>
    </xf>
    <xf numFmtId="0" fontId="8" fillId="0" borderId="0" xfId="30" applyFont="1" applyFill="1" applyAlignment="1">
      <alignment horizontal="center" vertical="center" wrapText="1"/>
    </xf>
    <xf numFmtId="0" fontId="9" fillId="17" borderId="0" xfId="30" applyFont="1" applyFill="1" applyAlignment="1">
      <alignment horizontal="center" vertical="center" wrapText="1"/>
    </xf>
    <xf numFmtId="9" fontId="9" fillId="6" borderId="11" xfId="7" applyFont="1" applyFill="1" applyBorder="1" applyAlignment="1">
      <alignment horizontal="center" vertical="center" wrapText="1"/>
    </xf>
    <xf numFmtId="0" fontId="8" fillId="3" borderId="11" xfId="30" applyFont="1" applyFill="1" applyBorder="1" applyAlignment="1">
      <alignment horizontal="center" vertical="center" wrapText="1"/>
    </xf>
    <xf numFmtId="0" fontId="8" fillId="3" borderId="11" xfId="11" applyFont="1" applyFill="1" applyBorder="1" applyAlignment="1" applyProtection="1">
      <alignment horizontal="center" vertical="center" wrapText="1"/>
    </xf>
    <xf numFmtId="3" fontId="8" fillId="0" borderId="11" xfId="30" applyNumberFormat="1" applyFont="1" applyFill="1" applyBorder="1" applyAlignment="1">
      <alignment vertical="center" wrapText="1"/>
    </xf>
    <xf numFmtId="9" fontId="8" fillId="3" borderId="11" xfId="0" applyNumberFormat="1" applyFont="1" applyFill="1" applyBorder="1" applyAlignment="1">
      <alignment horizontal="justify" vertical="center" wrapText="1"/>
    </xf>
    <xf numFmtId="3" fontId="8" fillId="0" borderId="11" xfId="30" applyNumberFormat="1" applyFont="1" applyFill="1" applyBorder="1" applyAlignment="1">
      <alignment horizontal="justify" vertical="center" wrapText="1"/>
    </xf>
    <xf numFmtId="3" fontId="8" fillId="8" borderId="11" xfId="30" applyNumberFormat="1" applyFont="1" applyFill="1" applyBorder="1" applyAlignment="1">
      <alignment horizontal="justify" vertical="center" wrapText="1"/>
    </xf>
    <xf numFmtId="0" fontId="8" fillId="0" borderId="11" xfId="0" applyFont="1" applyBorder="1" applyAlignment="1">
      <alignment horizontal="center" vertical="center" wrapText="1"/>
    </xf>
    <xf numFmtId="9" fontId="8" fillId="3" borderId="11" xfId="0" applyNumberFormat="1" applyFont="1" applyFill="1" applyBorder="1" applyAlignment="1">
      <alignment horizontal="center" vertical="center" wrapText="1"/>
    </xf>
    <xf numFmtId="9" fontId="8" fillId="0" borderId="11" xfId="0" applyNumberFormat="1" applyFont="1" applyBorder="1" applyAlignment="1">
      <alignment horizontal="center" vertical="center" wrapText="1"/>
    </xf>
    <xf numFmtId="9" fontId="8" fillId="0" borderId="11" xfId="2" applyFont="1" applyBorder="1" applyAlignment="1">
      <alignment horizontal="center" vertical="center" wrapText="1"/>
    </xf>
    <xf numFmtId="9" fontId="8" fillId="2" borderId="11" xfId="0" applyNumberFormat="1" applyFont="1" applyFill="1" applyBorder="1" applyAlignment="1">
      <alignment vertical="center" wrapText="1"/>
    </xf>
    <xf numFmtId="9" fontId="8" fillId="24" borderId="24" xfId="30" applyNumberFormat="1" applyFont="1" applyFill="1" applyBorder="1" applyAlignment="1">
      <alignment vertical="center" wrapText="1"/>
    </xf>
    <xf numFmtId="9" fontId="8" fillId="24" borderId="10" xfId="30" applyNumberFormat="1" applyFont="1" applyFill="1" applyBorder="1" applyAlignment="1">
      <alignment vertical="center" wrapText="1"/>
    </xf>
    <xf numFmtId="9" fontId="8" fillId="24" borderId="11" xfId="30" applyNumberFormat="1" applyFont="1" applyFill="1" applyBorder="1" applyAlignment="1">
      <alignment vertical="center" wrapText="1"/>
    </xf>
    <xf numFmtId="3" fontId="8" fillId="8" borderId="11" xfId="30" applyNumberFormat="1" applyFont="1" applyFill="1" applyBorder="1" applyAlignment="1">
      <alignment horizontal="left" vertical="center" wrapText="1"/>
    </xf>
    <xf numFmtId="9" fontId="8" fillId="29" borderId="11" xfId="0" applyNumberFormat="1" applyFont="1" applyFill="1" applyBorder="1" applyAlignment="1">
      <alignment horizontal="justify" vertical="center" wrapText="1"/>
    </xf>
    <xf numFmtId="9" fontId="8" fillId="2" borderId="11" xfId="0" applyNumberFormat="1" applyFont="1" applyFill="1" applyBorder="1" applyAlignment="1">
      <alignment horizontal="center" vertical="center"/>
    </xf>
    <xf numFmtId="168" fontId="8" fillId="2" borderId="11" xfId="0" applyNumberFormat="1" applyFont="1" applyFill="1" applyBorder="1" applyAlignment="1">
      <alignment horizontal="center" vertical="center"/>
    </xf>
    <xf numFmtId="9" fontId="8" fillId="2" borderId="11" xfId="0" applyNumberFormat="1" applyFont="1" applyFill="1" applyBorder="1" applyAlignment="1">
      <alignment horizontal="center" vertical="center" wrapText="1"/>
    </xf>
    <xf numFmtId="9" fontId="8" fillId="29" borderId="11" xfId="0" applyNumberFormat="1" applyFont="1" applyFill="1" applyBorder="1" applyAlignment="1">
      <alignment horizontal="center" vertical="center" wrapText="1"/>
    </xf>
    <xf numFmtId="9" fontId="8" fillId="3" borderId="11" xfId="2" applyFont="1" applyFill="1" applyBorder="1" applyAlignment="1">
      <alignment horizontal="center" vertical="center" wrapText="1"/>
    </xf>
    <xf numFmtId="9" fontId="8" fillId="7" borderId="11" xfId="30" applyNumberFormat="1" applyFont="1" applyFill="1" applyBorder="1" applyAlignment="1">
      <alignment horizontal="center" vertical="center"/>
    </xf>
    <xf numFmtId="0" fontId="8" fillId="2" borderId="11" xfId="0" applyFont="1" applyFill="1" applyBorder="1" applyAlignment="1">
      <alignment horizontal="center" vertical="center" wrapText="1"/>
    </xf>
    <xf numFmtId="0" fontId="8" fillId="0" borderId="11" xfId="31" applyNumberFormat="1" applyFont="1" applyFill="1" applyBorder="1" applyAlignment="1">
      <alignment horizontal="center" vertical="center" wrapText="1"/>
    </xf>
    <xf numFmtId="0" fontId="8" fillId="3" borderId="11" xfId="31" applyNumberFormat="1" applyFont="1" applyFill="1" applyBorder="1" applyAlignment="1">
      <alignment horizontal="center" vertical="center" wrapText="1"/>
    </xf>
    <xf numFmtId="9" fontId="8" fillId="23" borderId="11" xfId="2" applyFont="1" applyFill="1" applyBorder="1" applyAlignment="1">
      <alignment horizontal="center" vertical="center" wrapText="1"/>
    </xf>
    <xf numFmtId="1" fontId="8" fillId="23" borderId="11" xfId="0" applyNumberFormat="1" applyFont="1" applyFill="1" applyBorder="1" applyAlignment="1">
      <alignment horizontal="center" vertical="center"/>
    </xf>
    <xf numFmtId="172" fontId="8" fillId="23" borderId="11" xfId="0" applyNumberFormat="1" applyFont="1" applyFill="1" applyBorder="1" applyAlignment="1">
      <alignment horizontal="center" vertical="center"/>
    </xf>
    <xf numFmtId="9" fontId="24" fillId="0" borderId="11" xfId="0" applyNumberFormat="1" applyFont="1" applyBorder="1" applyAlignment="1">
      <alignment horizontal="center" vertical="center"/>
    </xf>
    <xf numFmtId="9" fontId="24" fillId="0" borderId="11" xfId="0" applyNumberFormat="1" applyFont="1" applyBorder="1" applyAlignment="1">
      <alignment horizontal="center" vertical="center" wrapText="1"/>
    </xf>
    <xf numFmtId="0" fontId="24" fillId="0" borderId="11" xfId="0" applyFont="1" applyBorder="1" applyAlignment="1">
      <alignment horizontal="center" vertical="center" wrapText="1"/>
    </xf>
    <xf numFmtId="9" fontId="25" fillId="3" borderId="11" xfId="0" applyNumberFormat="1" applyFont="1" applyFill="1" applyBorder="1" applyAlignment="1">
      <alignment horizontal="center" vertical="center"/>
    </xf>
    <xf numFmtId="0" fontId="25" fillId="0" borderId="11" xfId="0" applyFont="1" applyBorder="1" applyAlignment="1">
      <alignment horizontal="center" vertical="center"/>
    </xf>
    <xf numFmtId="0" fontId="25" fillId="3" borderId="11" xfId="0" applyFont="1" applyFill="1" applyBorder="1" applyAlignment="1">
      <alignment horizontal="center" vertical="center"/>
    </xf>
    <xf numFmtId="0" fontId="25" fillId="0" borderId="11" xfId="0" applyFont="1" applyBorder="1" applyAlignment="1">
      <alignment horizontal="center" vertical="center" wrapText="1"/>
    </xf>
    <xf numFmtId="9" fontId="25" fillId="0" borderId="11" xfId="0" applyNumberFormat="1" applyFont="1" applyBorder="1" applyAlignment="1">
      <alignment horizontal="center" vertical="center" wrapText="1"/>
    </xf>
    <xf numFmtId="1" fontId="25" fillId="0" borderId="23" xfId="0" applyNumberFormat="1" applyFont="1" applyBorder="1" applyAlignment="1">
      <alignment horizontal="center" vertical="center" wrapText="1"/>
    </xf>
    <xf numFmtId="0" fontId="25" fillId="0" borderId="23" xfId="0" applyFont="1" applyBorder="1" applyAlignment="1">
      <alignment horizontal="center" vertical="center" wrapText="1"/>
    </xf>
    <xf numFmtId="0" fontId="25" fillId="3" borderId="11" xfId="0" applyFont="1" applyFill="1" applyBorder="1" applyAlignment="1">
      <alignment horizontal="center" vertical="center" wrapText="1"/>
    </xf>
    <xf numFmtId="9" fontId="25" fillId="3" borderId="11" xfId="0" applyNumberFormat="1" applyFont="1" applyFill="1" applyBorder="1" applyAlignment="1">
      <alignment horizontal="center" vertical="center" wrapText="1"/>
    </xf>
    <xf numFmtId="9" fontId="25" fillId="0" borderId="11" xfId="2" applyNumberFormat="1" applyFont="1" applyBorder="1" applyAlignment="1">
      <alignment horizontal="center" vertical="center" wrapText="1"/>
    </xf>
    <xf numFmtId="1" fontId="25" fillId="0" borderId="11" xfId="0" applyNumberFormat="1" applyFont="1" applyBorder="1" applyAlignment="1">
      <alignment horizontal="center" vertical="center" wrapText="1"/>
    </xf>
    <xf numFmtId="1" fontId="25" fillId="3" borderId="11" xfId="0" applyNumberFormat="1" applyFont="1" applyFill="1" applyBorder="1" applyAlignment="1">
      <alignment horizontal="center" vertical="center" wrapText="1"/>
    </xf>
    <xf numFmtId="9" fontId="25" fillId="0" borderId="11" xfId="2" applyFont="1" applyBorder="1" applyAlignment="1">
      <alignment horizontal="center" vertical="center" wrapText="1"/>
    </xf>
    <xf numFmtId="1" fontId="25" fillId="3" borderId="11" xfId="2" applyNumberFormat="1" applyFont="1" applyFill="1" applyBorder="1" applyAlignment="1">
      <alignment horizontal="center" vertical="center" wrapText="1"/>
    </xf>
    <xf numFmtId="0" fontId="24" fillId="3" borderId="11" xfId="0" applyFont="1" applyFill="1" applyBorder="1" applyAlignment="1">
      <alignment horizontal="center" vertical="center" wrapText="1"/>
    </xf>
    <xf numFmtId="9" fontId="24" fillId="0" borderId="11" xfId="2" applyFont="1" applyBorder="1" applyAlignment="1">
      <alignment horizontal="center" vertical="center" wrapText="1"/>
    </xf>
    <xf numFmtId="1" fontId="24" fillId="3" borderId="11" xfId="2" applyNumberFormat="1" applyFont="1" applyFill="1" applyBorder="1" applyAlignment="1">
      <alignment horizontal="center" vertical="center" wrapText="1"/>
    </xf>
    <xf numFmtId="9" fontId="24" fillId="3" borderId="11" xfId="2" applyFont="1" applyFill="1" applyBorder="1" applyAlignment="1">
      <alignment horizontal="center" vertical="center" wrapText="1"/>
    </xf>
    <xf numFmtId="9" fontId="9" fillId="6" borderId="11" xfId="30" applyNumberFormat="1" applyFont="1" applyFill="1" applyBorder="1" applyAlignment="1">
      <alignment horizontal="center" vertical="center" wrapText="1"/>
    </xf>
    <xf numFmtId="9" fontId="9" fillId="6" borderId="11" xfId="31" applyFont="1" applyFill="1" applyBorder="1" applyAlignment="1">
      <alignment horizontal="center" vertical="center" wrapText="1"/>
    </xf>
    <xf numFmtId="0" fontId="8" fillId="0" borderId="11" xfId="30" applyNumberFormat="1" applyFont="1" applyFill="1" applyBorder="1" applyAlignment="1">
      <alignment horizontal="center" vertical="center" wrapText="1"/>
    </xf>
    <xf numFmtId="1" fontId="8" fillId="3" borderId="11" xfId="31" applyNumberFormat="1" applyFont="1" applyFill="1" applyBorder="1" applyAlignment="1">
      <alignment horizontal="center" vertical="center" wrapText="1"/>
    </xf>
    <xf numFmtId="1" fontId="8" fillId="0" borderId="11" xfId="31" applyNumberFormat="1" applyFont="1" applyFill="1" applyBorder="1" applyAlignment="1">
      <alignment horizontal="center" vertical="center" wrapText="1"/>
    </xf>
    <xf numFmtId="0" fontId="8" fillId="3" borderId="11" xfId="30" applyNumberFormat="1" applyFont="1" applyFill="1" applyBorder="1" applyAlignment="1">
      <alignment horizontal="center" vertical="center" wrapText="1"/>
    </xf>
    <xf numFmtId="172" fontId="8" fillId="0" borderId="11" xfId="31" applyNumberFormat="1" applyFont="1" applyFill="1" applyBorder="1" applyAlignment="1">
      <alignment horizontal="center" vertical="center" wrapText="1"/>
    </xf>
    <xf numFmtId="1" fontId="8" fillId="23" borderId="11" xfId="0" applyNumberFormat="1" applyFont="1" applyFill="1" applyBorder="1" applyAlignment="1">
      <alignment horizontal="center" vertical="center" wrapText="1"/>
    </xf>
    <xf numFmtId="0" fontId="8" fillId="0" borderId="23" xfId="0" applyNumberFormat="1" applyFont="1" applyBorder="1" applyAlignment="1">
      <alignment horizontal="center" vertical="center" wrapText="1"/>
    </xf>
    <xf numFmtId="0" fontId="8" fillId="23" borderId="23" xfId="44" applyNumberFormat="1" applyFont="1" applyFill="1" applyBorder="1" applyAlignment="1">
      <alignment horizontal="center" vertical="center"/>
    </xf>
    <xf numFmtId="0" fontId="8" fillId="23" borderId="23" xfId="0" applyNumberFormat="1" applyFont="1" applyFill="1" applyBorder="1" applyAlignment="1">
      <alignment horizontal="center" vertical="center"/>
    </xf>
    <xf numFmtId="9" fontId="8" fillId="23" borderId="11" xfId="0" applyNumberFormat="1" applyFont="1" applyFill="1" applyBorder="1" applyAlignment="1">
      <alignment horizontal="center" vertical="center"/>
    </xf>
    <xf numFmtId="9" fontId="8" fillId="26" borderId="11" xfId="0" applyNumberFormat="1" applyFont="1" applyFill="1" applyBorder="1" applyAlignment="1">
      <alignment horizontal="center" vertical="center"/>
    </xf>
    <xf numFmtId="1" fontId="8" fillId="26" borderId="11" xfId="0" applyNumberFormat="1" applyFont="1" applyFill="1" applyBorder="1" applyAlignment="1">
      <alignment horizontal="center" vertical="center"/>
    </xf>
    <xf numFmtId="1" fontId="8" fillId="24" borderId="11" xfId="30" applyNumberFormat="1" applyFont="1" applyFill="1" applyBorder="1" applyAlignment="1">
      <alignment horizontal="center" vertical="center" wrapText="1"/>
    </xf>
    <xf numFmtId="9" fontId="8" fillId="24" borderId="11" xfId="30" applyNumberFormat="1" applyFont="1" applyFill="1" applyBorder="1" applyAlignment="1">
      <alignment horizontal="left" vertical="center" wrapText="1"/>
    </xf>
    <xf numFmtId="9" fontId="8" fillId="26" borderId="12" xfId="0" applyNumberFormat="1" applyFont="1" applyFill="1" applyBorder="1" applyAlignment="1">
      <alignment horizontal="center" vertical="center" wrapText="1"/>
    </xf>
    <xf numFmtId="0" fontId="8" fillId="26" borderId="12" xfId="0" applyFont="1" applyFill="1" applyBorder="1" applyAlignment="1">
      <alignment horizontal="center" vertical="center" wrapText="1"/>
    </xf>
    <xf numFmtId="9" fontId="8" fillId="26" borderId="12" xfId="2" applyFont="1" applyFill="1" applyBorder="1" applyAlignment="1">
      <alignment horizontal="center" vertical="center" wrapText="1"/>
    </xf>
    <xf numFmtId="168" fontId="8" fillId="26" borderId="12" xfId="2" applyNumberFormat="1" applyFont="1" applyFill="1" applyBorder="1" applyAlignment="1">
      <alignment horizontal="center" vertical="center" wrapText="1"/>
    </xf>
    <xf numFmtId="0" fontId="8" fillId="26" borderId="13" xfId="0" applyFont="1" applyFill="1" applyBorder="1" applyAlignment="1">
      <alignment horizontal="center" vertical="center" wrapText="1"/>
    </xf>
    <xf numFmtId="9" fontId="8" fillId="26" borderId="11" xfId="0" applyNumberFormat="1" applyFont="1" applyFill="1" applyBorder="1" applyAlignment="1">
      <alignment horizontal="center" vertical="center" wrapText="1"/>
    </xf>
    <xf numFmtId="1" fontId="8" fillId="0" borderId="11" xfId="30" applyNumberFormat="1" applyFont="1" applyFill="1" applyBorder="1" applyAlignment="1">
      <alignment horizontal="center" vertical="center" wrapText="1"/>
    </xf>
    <xf numFmtId="9" fontId="8" fillId="3" borderId="11" xfId="7" applyFont="1" applyFill="1" applyBorder="1" applyAlignment="1">
      <alignment horizontal="center" vertical="center" wrapText="1"/>
    </xf>
    <xf numFmtId="0" fontId="8" fillId="3" borderId="11" xfId="7" applyNumberFormat="1" applyFont="1" applyFill="1" applyBorder="1" applyAlignment="1">
      <alignment horizontal="center" vertical="center" wrapText="1"/>
    </xf>
    <xf numFmtId="9" fontId="8" fillId="3" borderId="11" xfId="7" applyNumberFormat="1" applyFont="1" applyFill="1" applyBorder="1" applyAlignment="1">
      <alignment horizontal="center" vertical="center" wrapText="1"/>
    </xf>
    <xf numFmtId="9" fontId="8" fillId="3" borderId="11" xfId="31" applyNumberFormat="1" applyFont="1" applyFill="1" applyBorder="1" applyAlignment="1">
      <alignment horizontal="center" vertical="center" wrapText="1"/>
    </xf>
    <xf numFmtId="0" fontId="8" fillId="26" borderId="14" xfId="0" applyFont="1" applyFill="1" applyBorder="1" applyAlignment="1">
      <alignment horizontal="center" vertical="center" wrapText="1"/>
    </xf>
    <xf numFmtId="9" fontId="8" fillId="26" borderId="14" xfId="0" applyNumberFormat="1" applyFont="1" applyFill="1" applyBorder="1" applyAlignment="1">
      <alignment horizontal="center" vertical="center" wrapText="1"/>
    </xf>
    <xf numFmtId="0" fontId="8" fillId="28" borderId="14" xfId="0" applyFont="1" applyFill="1" applyBorder="1" applyAlignment="1">
      <alignment horizontal="center" vertical="center" wrapText="1"/>
    </xf>
    <xf numFmtId="1" fontId="8" fillId="0" borderId="11" xfId="7" applyNumberFormat="1" applyFont="1" applyFill="1" applyBorder="1" applyAlignment="1">
      <alignment horizontal="center" vertical="center" wrapText="1"/>
    </xf>
    <xf numFmtId="41" fontId="8" fillId="0" borderId="11" xfId="45" applyNumberFormat="1" applyFont="1" applyFill="1" applyBorder="1" applyAlignment="1">
      <alignment horizontal="center" vertical="center" wrapText="1"/>
    </xf>
    <xf numFmtId="9" fontId="8" fillId="28" borderId="11" xfId="0" applyNumberFormat="1" applyFont="1" applyFill="1" applyBorder="1" applyAlignment="1">
      <alignment horizontal="center" vertical="center" wrapText="1"/>
    </xf>
    <xf numFmtId="1" fontId="8" fillId="28" borderId="11" xfId="0" applyNumberFormat="1" applyFont="1" applyFill="1" applyBorder="1" applyAlignment="1">
      <alignment horizontal="center" vertical="center" wrapText="1"/>
    </xf>
    <xf numFmtId="0" fontId="8" fillId="0" borderId="11" xfId="7" applyNumberFormat="1" applyFont="1" applyFill="1" applyBorder="1" applyAlignment="1">
      <alignment horizontal="center" vertical="center" wrapText="1"/>
    </xf>
    <xf numFmtId="9" fontId="8" fillId="25" borderId="11" xfId="2" applyFont="1" applyFill="1" applyBorder="1" applyAlignment="1">
      <alignment horizontal="center" vertical="center" wrapText="1"/>
    </xf>
    <xf numFmtId="1" fontId="8" fillId="25" borderId="11" xfId="30" applyNumberFormat="1" applyFont="1" applyFill="1" applyBorder="1" applyAlignment="1">
      <alignment horizontal="center" vertical="center" wrapText="1"/>
    </xf>
    <xf numFmtId="10" fontId="8" fillId="25" borderId="11" xfId="30" applyNumberFormat="1" applyFont="1" applyFill="1" applyBorder="1" applyAlignment="1">
      <alignment horizontal="center" vertical="center" wrapText="1"/>
    </xf>
    <xf numFmtId="0" fontId="8" fillId="28" borderId="11" xfId="0" applyFont="1" applyFill="1" applyBorder="1" applyAlignment="1">
      <alignment horizontal="center" vertical="center" wrapText="1"/>
    </xf>
    <xf numFmtId="0" fontId="8" fillId="27" borderId="11" xfId="0" applyFont="1" applyFill="1" applyBorder="1" applyAlignment="1">
      <alignment horizontal="center" vertical="center" wrapText="1"/>
    </xf>
    <xf numFmtId="9" fontId="8" fillId="27" borderId="11" xfId="0" applyNumberFormat="1" applyFont="1" applyFill="1" applyBorder="1" applyAlignment="1">
      <alignment horizontal="center" vertical="center" wrapText="1"/>
    </xf>
    <xf numFmtId="9" fontId="8" fillId="27" borderId="11" xfId="2" applyFont="1" applyFill="1" applyBorder="1" applyAlignment="1">
      <alignment horizontal="center" vertical="center" wrapText="1"/>
    </xf>
    <xf numFmtId="168" fontId="8" fillId="27" borderId="11" xfId="2" applyNumberFormat="1" applyFont="1" applyFill="1" applyBorder="1" applyAlignment="1">
      <alignment horizontal="center" vertical="center" wrapText="1"/>
    </xf>
    <xf numFmtId="1" fontId="8" fillId="3" borderId="11" xfId="30" applyNumberFormat="1" applyFont="1" applyFill="1" applyBorder="1" applyAlignment="1">
      <alignment horizontal="center" vertical="center" wrapText="1"/>
    </xf>
    <xf numFmtId="0" fontId="8" fillId="3" borderId="11" xfId="0" applyFont="1" applyFill="1" applyBorder="1" applyAlignment="1">
      <alignment horizontal="center" vertical="center" wrapText="1"/>
    </xf>
    <xf numFmtId="9" fontId="8" fillId="27" borderId="11" xfId="0" applyNumberFormat="1" applyFont="1" applyFill="1" applyBorder="1" applyAlignment="1" applyProtection="1">
      <alignment horizontal="center" vertical="center" wrapText="1"/>
      <protection hidden="1"/>
    </xf>
    <xf numFmtId="168" fontId="8" fillId="27" borderId="11" xfId="0" applyNumberFormat="1" applyFont="1" applyFill="1" applyBorder="1" applyAlignment="1" applyProtection="1">
      <alignment horizontal="center" vertical="center" wrapText="1"/>
      <protection hidden="1"/>
    </xf>
    <xf numFmtId="9" fontId="8" fillId="27" borderId="11" xfId="2" applyNumberFormat="1" applyFont="1" applyFill="1" applyBorder="1" applyAlignment="1">
      <alignment horizontal="center" vertical="center" wrapText="1"/>
    </xf>
    <xf numFmtId="10" fontId="8" fillId="27" borderId="11" xfId="2" applyNumberFormat="1" applyFont="1" applyFill="1" applyBorder="1" applyAlignment="1">
      <alignment horizontal="center" vertical="center" wrapText="1"/>
    </xf>
    <xf numFmtId="0" fontId="8" fillId="27" borderId="11" xfId="2" applyNumberFormat="1" applyFont="1" applyFill="1" applyBorder="1" applyAlignment="1">
      <alignment horizontal="center" vertical="center" wrapText="1"/>
    </xf>
    <xf numFmtId="9" fontId="8" fillId="0" borderId="11" xfId="7" applyNumberFormat="1" applyFont="1" applyFill="1" applyBorder="1" applyAlignment="1">
      <alignment horizontal="center" vertical="center" wrapText="1"/>
    </xf>
    <xf numFmtId="166" fontId="8" fillId="0" borderId="11" xfId="30" applyNumberFormat="1" applyFont="1" applyBorder="1" applyAlignment="1" applyProtection="1">
      <alignment horizontal="center" vertical="center"/>
      <protection hidden="1"/>
    </xf>
    <xf numFmtId="166" fontId="8" fillId="2" borderId="11" xfId="0" applyNumberFormat="1" applyFont="1" applyFill="1" applyBorder="1" applyAlignment="1" applyProtection="1">
      <alignment horizontal="center" vertical="center"/>
      <protection hidden="1"/>
    </xf>
    <xf numFmtId="3" fontId="8" fillId="0" borderId="11" xfId="0" applyNumberFormat="1" applyFont="1" applyBorder="1" applyAlignment="1">
      <alignment horizontal="center" vertical="center"/>
    </xf>
    <xf numFmtId="0" fontId="9" fillId="3" borderId="11" xfId="30" applyFont="1" applyFill="1" applyBorder="1" applyAlignment="1" applyProtection="1">
      <alignment horizontal="center" vertical="center" wrapText="1"/>
      <protection hidden="1"/>
    </xf>
    <xf numFmtId="9" fontId="8" fillId="7" borderId="11" xfId="31" applyFont="1" applyFill="1" applyBorder="1" applyAlignment="1">
      <alignment horizontal="center" vertical="center"/>
    </xf>
    <xf numFmtId="9" fontId="8" fillId="0" borderId="0" xfId="31" applyFont="1" applyFill="1" applyBorder="1" applyAlignment="1">
      <alignment horizontal="center" vertical="center" wrapText="1"/>
    </xf>
    <xf numFmtId="1" fontId="8" fillId="3" borderId="11" xfId="7" applyNumberFormat="1" applyFont="1" applyFill="1" applyBorder="1" applyAlignment="1">
      <alignment horizontal="center" vertical="center" wrapText="1"/>
    </xf>
    <xf numFmtId="9" fontId="8" fillId="0" borderId="11" xfId="2" applyNumberFormat="1" applyFont="1" applyFill="1" applyBorder="1" applyAlignment="1">
      <alignment horizontal="center" vertical="center" wrapText="1"/>
    </xf>
    <xf numFmtId="0" fontId="9" fillId="8" borderId="11" xfId="30" applyFont="1" applyFill="1" applyBorder="1" applyAlignment="1">
      <alignment horizontal="center" vertical="center" wrapText="1"/>
    </xf>
    <xf numFmtId="0" fontId="8" fillId="8" borderId="11" xfId="30" applyFont="1" applyFill="1" applyBorder="1" applyAlignment="1">
      <alignment horizontal="center" vertical="center" wrapText="1"/>
    </xf>
    <xf numFmtId="0" fontId="9" fillId="8" borderId="11" xfId="30" applyFont="1" applyFill="1" applyBorder="1" applyAlignment="1" applyProtection="1">
      <alignment horizontal="center" vertical="center" wrapText="1"/>
    </xf>
    <xf numFmtId="0" fontId="8" fillId="8" borderId="11" xfId="30" applyFont="1" applyFill="1" applyBorder="1" applyAlignment="1" applyProtection="1">
      <alignment horizontal="center" vertical="center" wrapText="1"/>
    </xf>
    <xf numFmtId="9" fontId="8" fillId="0" borderId="11" xfId="2" applyFont="1" applyFill="1" applyBorder="1" applyAlignment="1">
      <alignment horizontal="center" vertical="center" wrapText="1"/>
    </xf>
    <xf numFmtId="9" fontId="8" fillId="0" borderId="11" xfId="31" applyFont="1" applyFill="1" applyBorder="1" applyAlignment="1">
      <alignment horizontal="center" vertical="center" wrapText="1"/>
    </xf>
    <xf numFmtId="0" fontId="9" fillId="6" borderId="11" xfId="30" applyFont="1" applyFill="1" applyBorder="1" applyAlignment="1">
      <alignment horizontal="center" vertical="center" wrapText="1"/>
    </xf>
    <xf numFmtId="0" fontId="9" fillId="8" borderId="11" xfId="30" applyFont="1" applyFill="1" applyBorder="1" applyAlignment="1" applyProtection="1">
      <alignment horizontal="center" vertical="center" wrapText="1"/>
      <protection hidden="1"/>
    </xf>
    <xf numFmtId="3" fontId="8" fillId="3" borderId="11" xfId="30" applyNumberFormat="1" applyFont="1" applyFill="1" applyBorder="1" applyAlignment="1">
      <alignment horizontal="center" vertical="center" wrapText="1"/>
    </xf>
    <xf numFmtId="9" fontId="8" fillId="3" borderId="11" xfId="30" applyNumberFormat="1" applyFont="1" applyFill="1" applyBorder="1" applyAlignment="1">
      <alignment horizontal="center" vertical="center" wrapText="1"/>
    </xf>
    <xf numFmtId="9" fontId="8" fillId="0" borderId="11" xfId="31" applyNumberFormat="1" applyFont="1" applyFill="1" applyBorder="1" applyAlignment="1">
      <alignment horizontal="center" vertical="center" wrapText="1"/>
    </xf>
    <xf numFmtId="0" fontId="8" fillId="3" borderId="11" xfId="30" applyFont="1" applyFill="1" applyBorder="1" applyAlignment="1" applyProtection="1">
      <alignment horizontal="center" vertical="center" wrapText="1"/>
    </xf>
    <xf numFmtId="0" fontId="8" fillId="8" borderId="11" xfId="30" applyFont="1" applyFill="1" applyBorder="1" applyAlignment="1" applyProtection="1">
      <alignment horizontal="center" vertical="center" wrapText="1"/>
      <protection hidden="1"/>
    </xf>
    <xf numFmtId="0" fontId="9" fillId="8" borderId="11" xfId="11" applyFont="1" applyFill="1" applyBorder="1" applyAlignment="1">
      <alignment horizontal="center" vertical="center" wrapText="1"/>
    </xf>
    <xf numFmtId="0" fontId="8" fillId="8" borderId="11" xfId="11" applyFont="1" applyFill="1" applyBorder="1" applyAlignment="1">
      <alignment horizontal="center" vertical="center" wrapText="1"/>
    </xf>
    <xf numFmtId="3" fontId="8" fillId="0" borderId="11" xfId="30" applyNumberFormat="1" applyFont="1" applyFill="1" applyBorder="1" applyAlignment="1">
      <alignment horizontal="center" vertical="center" wrapText="1"/>
    </xf>
    <xf numFmtId="0" fontId="8" fillId="0" borderId="11" xfId="30" applyFont="1" applyFill="1" applyBorder="1" applyAlignment="1">
      <alignment horizontal="center" vertical="center" wrapText="1"/>
    </xf>
    <xf numFmtId="9" fontId="8" fillId="24" borderId="24" xfId="30" applyNumberFormat="1" applyFont="1" applyFill="1" applyBorder="1" applyAlignment="1">
      <alignment horizontal="left" vertical="center" wrapText="1"/>
    </xf>
    <xf numFmtId="9" fontId="8" fillId="0" borderId="11" xfId="30" applyNumberFormat="1"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18" fillId="4" borderId="15" xfId="3" applyFont="1" applyFill="1" applyBorder="1" applyAlignment="1">
      <alignment horizontal="center" vertical="center"/>
    </xf>
    <xf numFmtId="0" fontId="18" fillId="6" borderId="16" xfId="3" applyFont="1" applyFill="1" applyBorder="1" applyAlignment="1">
      <alignment horizontal="center" vertical="center" wrapText="1"/>
    </xf>
    <xf numFmtId="0" fontId="18" fillId="6" borderId="17" xfId="3" applyFont="1" applyFill="1" applyBorder="1" applyAlignment="1">
      <alignment horizontal="center" vertical="center" wrapText="1"/>
    </xf>
    <xf numFmtId="0" fontId="18" fillId="6" borderId="18" xfId="3" applyFont="1" applyFill="1" applyBorder="1" applyAlignment="1">
      <alignment horizontal="center" vertical="center" wrapText="1"/>
    </xf>
    <xf numFmtId="0" fontId="18" fillId="6" borderId="19" xfId="3" applyFont="1" applyFill="1" applyBorder="1" applyAlignment="1">
      <alignment horizontal="center" vertical="center" wrapText="1"/>
    </xf>
    <xf numFmtId="173" fontId="8" fillId="0" borderId="11" xfId="34" applyNumberFormat="1" applyFont="1" applyFill="1" applyBorder="1" applyAlignment="1">
      <alignment horizontal="center" vertical="center" wrapText="1"/>
    </xf>
    <xf numFmtId="171" fontId="8" fillId="0" borderId="11" xfId="34" applyNumberFormat="1" applyFont="1" applyFill="1" applyBorder="1" applyAlignment="1">
      <alignment horizontal="center" vertical="center" wrapText="1"/>
    </xf>
    <xf numFmtId="0" fontId="9" fillId="12" borderId="11" xfId="30" applyFont="1" applyFill="1" applyBorder="1" applyAlignment="1" applyProtection="1">
      <alignment horizontal="center" vertical="center" textRotation="90" wrapText="1"/>
    </xf>
    <xf numFmtId="9" fontId="8" fillId="0" borderId="11" xfId="31" applyFont="1" applyFill="1" applyBorder="1" applyAlignment="1">
      <alignment horizontal="center" vertical="center" wrapText="1"/>
    </xf>
    <xf numFmtId="0" fontId="9" fillId="11" borderId="11" xfId="30" applyFont="1" applyFill="1" applyBorder="1" applyAlignment="1">
      <alignment horizontal="left" vertical="center" wrapText="1"/>
    </xf>
    <xf numFmtId="0" fontId="9" fillId="8" borderId="11" xfId="30" applyFont="1" applyFill="1" applyBorder="1" applyAlignment="1" applyProtection="1">
      <alignment horizontal="center" vertical="center" wrapText="1"/>
    </xf>
    <xf numFmtId="0" fontId="8" fillId="0" borderId="11" xfId="30" applyFont="1" applyFill="1" applyBorder="1" applyAlignment="1">
      <alignment horizontal="center" vertical="center" wrapText="1"/>
    </xf>
    <xf numFmtId="0" fontId="8" fillId="8" borderId="11" xfId="30" applyFont="1" applyFill="1" applyBorder="1" applyAlignment="1" applyProtection="1">
      <alignment horizontal="center" vertical="center" wrapText="1"/>
    </xf>
    <xf numFmtId="3" fontId="8" fillId="0" borderId="24" xfId="30" applyNumberFormat="1" applyFont="1" applyFill="1" applyBorder="1" applyAlignment="1">
      <alignment horizontal="justify" vertical="center" wrapText="1"/>
    </xf>
    <xf numFmtId="3" fontId="8" fillId="0" borderId="10" xfId="30" applyNumberFormat="1" applyFont="1" applyFill="1" applyBorder="1" applyAlignment="1">
      <alignment horizontal="justify" vertical="center" wrapText="1"/>
    </xf>
    <xf numFmtId="9" fontId="8" fillId="24" borderId="24" xfId="30" applyNumberFormat="1" applyFont="1" applyFill="1" applyBorder="1" applyAlignment="1">
      <alignment horizontal="center" vertical="center" wrapText="1"/>
    </xf>
    <xf numFmtId="9" fontId="8" fillId="24" borderId="10" xfId="30" applyNumberFormat="1" applyFont="1" applyFill="1" applyBorder="1" applyAlignment="1">
      <alignment horizontal="center" vertical="center" wrapText="1"/>
    </xf>
    <xf numFmtId="9" fontId="8" fillId="24" borderId="24" xfId="30" applyNumberFormat="1" applyFont="1" applyFill="1" applyBorder="1" applyAlignment="1">
      <alignment horizontal="left" vertical="center" wrapText="1"/>
    </xf>
    <xf numFmtId="9" fontId="8" fillId="24" borderId="26" xfId="30" applyNumberFormat="1" applyFont="1" applyFill="1" applyBorder="1" applyAlignment="1">
      <alignment horizontal="left" vertical="center" wrapText="1"/>
    </xf>
    <xf numFmtId="9" fontId="8" fillId="24" borderId="10" xfId="30" applyNumberFormat="1" applyFont="1" applyFill="1" applyBorder="1" applyAlignment="1">
      <alignment horizontal="left" vertical="center" wrapText="1"/>
    </xf>
    <xf numFmtId="0" fontId="9" fillId="12" borderId="11" xfId="30" applyFont="1" applyFill="1" applyBorder="1" applyAlignment="1">
      <alignment horizontal="left" vertical="center" wrapText="1"/>
    </xf>
    <xf numFmtId="0" fontId="9" fillId="12" borderId="10" xfId="30" applyFont="1" applyFill="1" applyBorder="1" applyAlignment="1">
      <alignment horizontal="left" vertical="center" wrapText="1"/>
    </xf>
    <xf numFmtId="0" fontId="8" fillId="3" borderId="11" xfId="30" applyFont="1" applyFill="1" applyBorder="1" applyAlignment="1" applyProtection="1">
      <alignment horizontal="center" vertical="center" wrapText="1"/>
    </xf>
    <xf numFmtId="3" fontId="8" fillId="0" borderId="11" xfId="30" applyNumberFormat="1" applyFont="1" applyFill="1" applyBorder="1" applyAlignment="1">
      <alignment horizontal="center" vertical="center" wrapText="1"/>
    </xf>
    <xf numFmtId="0" fontId="9" fillId="6" borderId="11" xfId="30" applyFont="1" applyFill="1" applyBorder="1" applyAlignment="1">
      <alignment horizontal="center" vertical="center" wrapText="1"/>
    </xf>
    <xf numFmtId="0" fontId="9" fillId="8" borderId="11" xfId="30" applyFont="1" applyFill="1" applyBorder="1" applyAlignment="1">
      <alignment horizontal="center" vertical="center" wrapText="1"/>
    </xf>
    <xf numFmtId="0" fontId="8" fillId="9" borderId="11" xfId="30" applyFont="1" applyFill="1" applyBorder="1" applyAlignment="1" applyProtection="1">
      <alignment horizontal="center" vertical="center" textRotation="90" wrapText="1"/>
    </xf>
    <xf numFmtId="0" fontId="8" fillId="9" borderId="11" xfId="30" applyFont="1" applyFill="1" applyBorder="1" applyAlignment="1">
      <alignment horizontal="left" vertical="center" wrapText="1"/>
    </xf>
    <xf numFmtId="0" fontId="9" fillId="9" borderId="11" xfId="30" applyFont="1" applyFill="1" applyBorder="1" applyAlignment="1" applyProtection="1">
      <alignment horizontal="center" vertical="center" textRotation="90" wrapText="1"/>
    </xf>
    <xf numFmtId="9" fontId="8" fillId="27" borderId="24" xfId="2" applyFont="1" applyFill="1" applyBorder="1" applyAlignment="1">
      <alignment horizontal="center" vertical="center" wrapText="1"/>
    </xf>
    <xf numFmtId="9" fontId="8" fillId="27" borderId="10" xfId="2" applyFont="1" applyFill="1" applyBorder="1" applyAlignment="1">
      <alignment horizontal="center" vertical="center" wrapText="1"/>
    </xf>
    <xf numFmtId="0" fontId="8" fillId="8" borderId="11" xfId="30" applyFont="1" applyFill="1" applyBorder="1" applyAlignment="1">
      <alignment horizontal="center" vertical="center" wrapText="1"/>
    </xf>
    <xf numFmtId="0" fontId="9" fillId="5" borderId="11" xfId="30" applyFont="1" applyFill="1" applyBorder="1" applyAlignment="1">
      <alignment horizontal="center" vertical="center" wrapText="1"/>
    </xf>
    <xf numFmtId="0" fontId="9" fillId="10" borderId="11" xfId="30" applyFont="1" applyFill="1" applyBorder="1" applyAlignment="1">
      <alignment horizontal="center" vertical="center" wrapText="1"/>
    </xf>
    <xf numFmtId="0" fontId="9" fillId="7" borderId="11" xfId="30" applyNumberFormat="1" applyFont="1" applyFill="1" applyBorder="1" applyAlignment="1" applyProtection="1">
      <alignment horizontal="center" vertical="center" textRotation="90" wrapText="1"/>
      <protection hidden="1"/>
    </xf>
    <xf numFmtId="0" fontId="9" fillId="22" borderId="11" xfId="30" applyNumberFormat="1" applyFont="1" applyFill="1" applyBorder="1" applyAlignment="1" applyProtection="1">
      <alignment horizontal="center" vertical="center" textRotation="90" wrapText="1"/>
    </xf>
    <xf numFmtId="0" fontId="9" fillId="8" borderId="11" xfId="11" applyFont="1" applyFill="1" applyBorder="1" applyAlignment="1">
      <alignment horizontal="center" vertical="center" wrapText="1"/>
    </xf>
    <xf numFmtId="0" fontId="9" fillId="8" borderId="11" xfId="30" applyFont="1" applyFill="1" applyBorder="1" applyAlignment="1" applyProtection="1">
      <alignment horizontal="center" vertical="center" wrapText="1"/>
      <protection hidden="1"/>
    </xf>
    <xf numFmtId="0" fontId="9" fillId="13" borderId="11" xfId="30" applyFont="1" applyFill="1" applyBorder="1" applyAlignment="1">
      <alignment horizontal="justify" vertical="center" wrapText="1"/>
    </xf>
    <xf numFmtId="0" fontId="9" fillId="7" borderId="11" xfId="30" applyFont="1" applyFill="1" applyBorder="1" applyAlignment="1">
      <alignment horizontal="justify" vertical="center" wrapText="1"/>
    </xf>
    <xf numFmtId="173" fontId="24" fillId="3" borderId="24" xfId="0" applyNumberFormat="1" applyFont="1" applyFill="1" applyBorder="1" applyAlignment="1">
      <alignment horizontal="center" vertical="center"/>
    </xf>
    <xf numFmtId="173" fontId="24" fillId="3" borderId="26" xfId="0" applyNumberFormat="1" applyFont="1" applyFill="1" applyBorder="1" applyAlignment="1">
      <alignment horizontal="center" vertical="center"/>
    </xf>
    <xf numFmtId="173" fontId="24" fillId="3" borderId="10" xfId="0" applyNumberFormat="1" applyFont="1" applyFill="1" applyBorder="1" applyAlignment="1">
      <alignment horizontal="center" vertical="center"/>
    </xf>
    <xf numFmtId="0" fontId="9" fillId="22" borderId="11" xfId="30" applyFont="1" applyFill="1" applyBorder="1" applyAlignment="1" applyProtection="1">
      <alignment horizontal="center" vertical="center" textRotation="90" wrapText="1"/>
    </xf>
    <xf numFmtId="0" fontId="8" fillId="8" borderId="11" xfId="11" applyFont="1" applyFill="1" applyBorder="1" applyAlignment="1">
      <alignment horizontal="center" vertical="center" wrapText="1"/>
    </xf>
    <xf numFmtId="9" fontId="8" fillId="0" borderId="11" xfId="31" applyNumberFormat="1" applyFont="1" applyFill="1" applyBorder="1" applyAlignment="1">
      <alignment horizontal="center" vertical="center" wrapText="1"/>
    </xf>
    <xf numFmtId="0" fontId="8" fillId="8" borderId="11" xfId="30" applyFont="1" applyFill="1" applyBorder="1" applyAlignment="1" applyProtection="1">
      <alignment horizontal="center" vertical="center" wrapText="1"/>
      <protection hidden="1"/>
    </xf>
    <xf numFmtId="173" fontId="8" fillId="0" borderId="24" xfId="34" applyNumberFormat="1" applyFont="1" applyFill="1" applyBorder="1" applyAlignment="1">
      <alignment horizontal="center" vertical="center" wrapText="1"/>
    </xf>
    <xf numFmtId="173" fontId="8" fillId="0" borderId="26" xfId="34" applyNumberFormat="1" applyFont="1" applyFill="1" applyBorder="1" applyAlignment="1">
      <alignment horizontal="center" vertical="center" wrapText="1"/>
    </xf>
    <xf numFmtId="173" fontId="8" fillId="0" borderId="10" xfId="34" applyNumberFormat="1" applyFont="1" applyFill="1" applyBorder="1" applyAlignment="1">
      <alignment horizontal="center" vertical="center" wrapText="1"/>
    </xf>
    <xf numFmtId="9" fontId="8" fillId="0" borderId="11" xfId="2" applyFont="1" applyFill="1" applyBorder="1" applyAlignment="1">
      <alignment horizontal="center" vertical="center" wrapText="1"/>
    </xf>
    <xf numFmtId="0" fontId="9" fillId="13" borderId="11" xfId="30" applyFont="1" applyFill="1" applyBorder="1" applyAlignment="1">
      <alignment horizontal="center" vertical="center" wrapText="1"/>
    </xf>
    <xf numFmtId="165" fontId="8" fillId="0" borderId="11" xfId="34" applyFont="1" applyFill="1" applyBorder="1" applyAlignment="1">
      <alignment horizontal="center" vertical="center" wrapText="1"/>
    </xf>
    <xf numFmtId="0" fontId="9" fillId="25" borderId="11" xfId="30" applyFont="1" applyFill="1" applyBorder="1" applyAlignment="1" applyProtection="1">
      <alignment horizontal="center" vertical="center" textRotation="90" wrapText="1"/>
    </xf>
    <xf numFmtId="9" fontId="8" fillId="0" borderId="11" xfId="30" applyNumberFormat="1" applyFont="1" applyFill="1" applyBorder="1" applyAlignment="1">
      <alignment horizontal="center" vertical="center" wrapText="1"/>
    </xf>
    <xf numFmtId="0" fontId="9" fillId="7" borderId="11" xfId="30" applyFont="1" applyFill="1" applyBorder="1" applyAlignment="1" applyProtection="1">
      <alignment horizontal="center" vertical="center" textRotation="90" wrapText="1"/>
      <protection hidden="1"/>
    </xf>
    <xf numFmtId="3" fontId="8" fillId="3" borderId="11" xfId="30" applyNumberFormat="1" applyFont="1" applyFill="1" applyBorder="1" applyAlignment="1">
      <alignment horizontal="center" vertical="center" wrapText="1"/>
    </xf>
    <xf numFmtId="9" fontId="8" fillId="3" borderId="11" xfId="30" applyNumberFormat="1" applyFont="1" applyFill="1" applyBorder="1" applyAlignment="1">
      <alignment horizontal="center" vertical="center" wrapText="1"/>
    </xf>
    <xf numFmtId="173" fontId="8" fillId="3" borderId="11" xfId="0" applyNumberFormat="1" applyFont="1" applyFill="1" applyBorder="1" applyAlignment="1" applyProtection="1">
      <alignment horizontal="center" vertical="center" wrapText="1"/>
      <protection hidden="1"/>
    </xf>
    <xf numFmtId="173" fontId="8" fillId="3" borderId="24" xfId="0" applyNumberFormat="1" applyFont="1" applyFill="1" applyBorder="1" applyAlignment="1">
      <alignment horizontal="center" vertical="center"/>
    </xf>
    <xf numFmtId="173" fontId="8" fillId="3" borderId="26" xfId="0" applyNumberFormat="1" applyFont="1" applyFill="1" applyBorder="1" applyAlignment="1">
      <alignment horizontal="center" vertical="center"/>
    </xf>
    <xf numFmtId="173" fontId="8" fillId="3" borderId="10" xfId="0" applyNumberFormat="1" applyFont="1" applyFill="1" applyBorder="1" applyAlignment="1">
      <alignment horizontal="center" vertical="center"/>
    </xf>
    <xf numFmtId="171" fontId="8" fillId="0" borderId="24" xfId="34" applyNumberFormat="1" applyFont="1" applyFill="1" applyBorder="1" applyAlignment="1">
      <alignment horizontal="center" vertical="center" wrapText="1"/>
    </xf>
    <xf numFmtId="171" fontId="8" fillId="0" borderId="26" xfId="34" applyNumberFormat="1" applyFont="1" applyFill="1" applyBorder="1" applyAlignment="1">
      <alignment horizontal="center" vertical="center" wrapText="1"/>
    </xf>
    <xf numFmtId="171" fontId="8" fillId="0" borderId="10" xfId="34" applyNumberFormat="1" applyFont="1" applyFill="1" applyBorder="1" applyAlignment="1">
      <alignment horizontal="center" vertical="center" wrapText="1"/>
    </xf>
    <xf numFmtId="1" fontId="8" fillId="23" borderId="24" xfId="0" applyNumberFormat="1" applyFont="1" applyFill="1" applyBorder="1" applyAlignment="1">
      <alignment horizontal="justify" vertical="center" wrapText="1"/>
    </xf>
    <xf numFmtId="1" fontId="8" fillId="23" borderId="27" xfId="0" applyNumberFormat="1" applyFont="1" applyFill="1" applyBorder="1" applyAlignment="1">
      <alignment horizontal="justify" vertical="center" wrapText="1"/>
    </xf>
    <xf numFmtId="1" fontId="8" fillId="23" borderId="28" xfId="0" applyNumberFormat="1" applyFont="1" applyFill="1" applyBorder="1" applyAlignment="1">
      <alignment horizontal="justify" vertical="center" wrapText="1"/>
    </xf>
    <xf numFmtId="0" fontId="9" fillId="9" borderId="11" xfId="30" applyFont="1" applyFill="1" applyBorder="1" applyAlignment="1">
      <alignment horizontal="left" vertical="center" wrapText="1"/>
    </xf>
    <xf numFmtId="0" fontId="9" fillId="9" borderId="24" xfId="30" applyFont="1" applyFill="1" applyBorder="1" applyAlignment="1" applyProtection="1">
      <alignment horizontal="center" vertical="center" textRotation="90" wrapText="1"/>
    </xf>
    <xf numFmtId="0" fontId="9" fillId="9" borderId="26" xfId="30" applyFont="1" applyFill="1" applyBorder="1" applyAlignment="1" applyProtection="1">
      <alignment horizontal="center" vertical="center" textRotation="90" wrapText="1"/>
    </xf>
    <xf numFmtId="0" fontId="9" fillId="9" borderId="10" xfId="30" applyFont="1" applyFill="1" applyBorder="1" applyAlignment="1" applyProtection="1">
      <alignment horizontal="center" vertical="center" textRotation="90" wrapText="1"/>
    </xf>
    <xf numFmtId="0" fontId="9" fillId="9" borderId="11" xfId="30" applyFont="1" applyFill="1" applyBorder="1" applyAlignment="1">
      <alignment horizontal="center" vertical="center" wrapText="1"/>
    </xf>
    <xf numFmtId="165" fontId="24" fillId="2" borderId="0" xfId="34" applyFont="1" applyFill="1" applyAlignment="1">
      <alignment vertical="center"/>
    </xf>
    <xf numFmtId="169" fontId="8" fillId="0" borderId="11" xfId="30" applyNumberFormat="1" applyFont="1" applyFill="1" applyBorder="1" applyAlignment="1">
      <alignment horizontal="center" vertical="center" wrapText="1"/>
    </xf>
    <xf numFmtId="0" fontId="8" fillId="3" borderId="11" xfId="30" applyFont="1" applyFill="1" applyBorder="1" applyAlignment="1">
      <alignment horizontal="center" vertical="center" wrapText="1"/>
    </xf>
  </cellXfs>
  <cellStyles count="49">
    <cellStyle name="cf1" xfId="12"/>
    <cellStyle name="cf2" xfId="13"/>
    <cellStyle name="cf3" xfId="14"/>
    <cellStyle name="cf4" xfId="15"/>
    <cellStyle name="cf5" xfId="16"/>
    <cellStyle name="cf6" xfId="17"/>
    <cellStyle name="Excel Built-in Normal" xfId="4"/>
    <cellStyle name="Excel Built-in Normal 2" xfId="5"/>
    <cellStyle name="Hipervínculo" xfId="1" builtinId="8"/>
    <cellStyle name="Hipervínculo visitado" xfId="29" builtinId="9" hidden="1"/>
    <cellStyle name="Hipervínculo visitado" xfId="46" builtinId="9" hidden="1"/>
    <cellStyle name="Hipervínculo visitado" xfId="47" builtinId="9" hidden="1"/>
    <cellStyle name="Hipervínculo visitado" xfId="48" builtinId="9" hidden="1"/>
    <cellStyle name="Millares" xfId="44" builtinId="3"/>
    <cellStyle name="Millares [0]" xfId="45" builtinId="6"/>
    <cellStyle name="Millares [0] 2" xfId="18"/>
    <cellStyle name="Millares 10" xfId="19"/>
    <cellStyle name="Millares 10 2" xfId="35"/>
    <cellStyle name="Millares 2" xfId="10"/>
    <cellStyle name="Millares 2 2" xfId="32"/>
    <cellStyle name="Millares 3" xfId="20"/>
    <cellStyle name="Millares 3 2" xfId="36"/>
    <cellStyle name="Millares 4" xfId="21"/>
    <cellStyle name="Millares 4 2" xfId="37"/>
    <cellStyle name="Millares 5" xfId="22"/>
    <cellStyle name="Millares 5 2" xfId="38"/>
    <cellStyle name="Millares 6" xfId="23"/>
    <cellStyle name="Millares 6 2" xfId="39"/>
    <cellStyle name="Millares 7" xfId="24"/>
    <cellStyle name="Millares 7 2" xfId="40"/>
    <cellStyle name="Millares 8" xfId="25"/>
    <cellStyle name="Millares 8 2" xfId="41"/>
    <cellStyle name="Millares 9" xfId="26"/>
    <cellStyle name="Millares 9 2" xfId="42"/>
    <cellStyle name="Moneda" xfId="34" builtinId="4"/>
    <cellStyle name="Moneda 2" xfId="27"/>
    <cellStyle name="Moneda 3" xfId="28"/>
    <cellStyle name="Normal" xfId="0" builtinId="0"/>
    <cellStyle name="Normal 2" xfId="3"/>
    <cellStyle name="Normal 2 2" xfId="9"/>
    <cellStyle name="Normal 2 3" xfId="33"/>
    <cellStyle name="Normal 2 3 2" xfId="43"/>
    <cellStyle name="Normal 3" xfId="6"/>
    <cellStyle name="Normal 3 2" xfId="30"/>
    <cellStyle name="Normal 4" xfId="11"/>
    <cellStyle name="Porcentaje" xfId="2" builtinId="5"/>
    <cellStyle name="Porcentaje 2" xfId="7"/>
    <cellStyle name="Porcentaje 3" xfId="8"/>
    <cellStyle name="Porcentaje 3 2" xfId="31"/>
  </cellStyles>
  <dxfs count="0"/>
  <tableStyles count="0" defaultTableStyle="TableStyleMedium2" defaultPivotStyle="PivotStyleLight16"/>
  <colors>
    <mruColors>
      <color rgb="FFBA8CDC"/>
      <color rgb="FF66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xdr:colOff>
      <xdr:row>0</xdr:row>
      <xdr:rowOff>0</xdr:rowOff>
    </xdr:from>
    <xdr:to>
      <xdr:col>6</xdr:col>
      <xdr:colOff>0</xdr:colOff>
      <xdr:row>1</xdr:row>
      <xdr:rowOff>0</xdr:rowOff>
    </xdr:to>
    <xdr:grpSp>
      <xdr:nvGrpSpPr>
        <xdr:cNvPr id="10" name="1 Grupo"/>
        <xdr:cNvGrpSpPr>
          <a:grpSpLocks/>
        </xdr:cNvGrpSpPr>
      </xdr:nvGrpSpPr>
      <xdr:grpSpPr bwMode="auto">
        <a:xfrm>
          <a:off x="2" y="0"/>
          <a:ext cx="10744198" cy="1657350"/>
          <a:chOff x="57151" y="47625"/>
          <a:chExt cx="6181724" cy="1581150"/>
        </a:xfrm>
      </xdr:grpSpPr>
      <xdr:pic>
        <xdr:nvPicPr>
          <xdr:cNvPr id="11" name="1 Imagen" descr="ESCUDO-transp-lema-blanco.png"/>
          <xdr:cNvPicPr>
            <a:picLocks noChangeAspect="1"/>
          </xdr:cNvPicPr>
        </xdr:nvPicPr>
        <xdr:blipFill>
          <a:blip xmlns:r="http://schemas.openxmlformats.org/officeDocument/2006/relationships" r:embed="rId1" cstate="print"/>
          <a:srcRect/>
          <a:stretch>
            <a:fillRect/>
          </a:stretch>
        </xdr:blipFill>
        <xdr:spPr bwMode="auto">
          <a:xfrm>
            <a:off x="57151" y="47625"/>
            <a:ext cx="850209" cy="1581150"/>
          </a:xfrm>
          <a:prstGeom prst="rect">
            <a:avLst/>
          </a:prstGeom>
          <a:noFill/>
          <a:ln w="9525">
            <a:noFill/>
            <a:miter lim="800000"/>
            <a:headEnd/>
            <a:tailEnd/>
          </a:ln>
        </xdr:spPr>
      </xdr:pic>
      <xdr:sp macro="" textlink="">
        <xdr:nvSpPr>
          <xdr:cNvPr id="12" name="3 CuadroTexto"/>
          <xdr:cNvSpPr txBox="1"/>
        </xdr:nvSpPr>
        <xdr:spPr>
          <a:xfrm>
            <a:off x="1426640" y="495300"/>
            <a:ext cx="4812235"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1209675</xdr:colOff>
      <xdr:row>0</xdr:row>
      <xdr:rowOff>1581150</xdr:rowOff>
    </xdr:to>
    <xdr:pic>
      <xdr:nvPicPr>
        <xdr:cNvPr id="2" name="1 Imagen" descr="ESCUDO-transp-lema-blanco.png"/>
        <xdr:cNvPicPr>
          <a:picLocks noChangeAspect="1"/>
        </xdr:cNvPicPr>
      </xdr:nvPicPr>
      <xdr:blipFill>
        <a:blip xmlns:r="http://schemas.openxmlformats.org/officeDocument/2006/relationships" r:embed="rId1" cstate="print"/>
        <a:srcRect/>
        <a:stretch>
          <a:fillRect/>
        </a:stretch>
      </xdr:blipFill>
      <xdr:spPr bwMode="auto">
        <a:xfrm>
          <a:off x="0" y="0"/>
          <a:ext cx="1209675" cy="1581150"/>
        </a:xfrm>
        <a:prstGeom prst="rect">
          <a:avLst/>
        </a:prstGeom>
        <a:noFill/>
        <a:ln w="9525">
          <a:noFill/>
          <a:miter lim="800000"/>
          <a:headEnd/>
          <a:tailEnd/>
        </a:ln>
      </xdr:spPr>
    </xdr:pic>
    <xdr:clientData/>
  </xdr:twoCellAnchor>
  <xdr:twoCellAnchor>
    <xdr:from>
      <xdr:col>0</xdr:col>
      <xdr:colOff>1266825</xdr:colOff>
      <xdr:row>0</xdr:row>
      <xdr:rowOff>428625</xdr:rowOff>
    </xdr:from>
    <xdr:to>
      <xdr:col>1</xdr:col>
      <xdr:colOff>2924175</xdr:colOff>
      <xdr:row>0</xdr:row>
      <xdr:rowOff>1200150</xdr:rowOff>
    </xdr:to>
    <xdr:sp macro="" textlink="">
      <xdr:nvSpPr>
        <xdr:cNvPr id="3" name="3 CuadroTexto"/>
        <xdr:cNvSpPr txBox="1"/>
      </xdr:nvSpPr>
      <xdr:spPr bwMode="auto">
        <a:xfrm>
          <a:off x="1266825" y="428625"/>
          <a:ext cx="4819650"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xdr:row>
      <xdr:rowOff>23812</xdr:rowOff>
    </xdr:from>
    <xdr:to>
      <xdr:col>8</xdr:col>
      <xdr:colOff>990600</xdr:colOff>
      <xdr:row>3</xdr:row>
      <xdr:rowOff>23812</xdr:rowOff>
    </xdr:to>
    <xdr:grpSp>
      <xdr:nvGrpSpPr>
        <xdr:cNvPr id="2" name="1 Grupo"/>
        <xdr:cNvGrpSpPr>
          <a:grpSpLocks/>
        </xdr:cNvGrpSpPr>
      </xdr:nvGrpSpPr>
      <xdr:grpSpPr bwMode="auto">
        <a:xfrm>
          <a:off x="0" y="452437"/>
          <a:ext cx="11218069" cy="0"/>
          <a:chOff x="57150" y="47625"/>
          <a:chExt cx="6181725" cy="1581150"/>
        </a:xfrm>
      </xdr:grpSpPr>
      <xdr:pic>
        <xdr:nvPicPr>
          <xdr:cNvPr id="3" name="1 Imagen" descr="ESCUDO-transp-lema-blanco.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1209675" cy="15811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sp macro="" textlink="">
        <xdr:nvSpPr>
          <xdr:cNvPr id="4" name="3 CuadroTexto"/>
          <xdr:cNvSpPr txBox="1"/>
        </xdr:nvSpPr>
        <xdr:spPr>
          <a:xfrm>
            <a:off x="4580296" y="0"/>
            <a:ext cx="4812584" cy="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twoCellAnchor>
    <xdr:from>
      <xdr:col>0</xdr:col>
      <xdr:colOff>0</xdr:colOff>
      <xdr:row>8</xdr:row>
      <xdr:rowOff>0</xdr:rowOff>
    </xdr:from>
    <xdr:to>
      <xdr:col>0</xdr:col>
      <xdr:colOff>19050</xdr:colOff>
      <xdr:row>8</xdr:row>
      <xdr:rowOff>0</xdr:rowOff>
    </xdr:to>
    <xdr:sp macro="" textlink="">
      <xdr:nvSpPr>
        <xdr:cNvPr id="5" name="Line 19"/>
        <xdr:cNvSpPr>
          <a:spLocks noChangeShapeType="1"/>
        </xdr:cNvSpPr>
      </xdr:nvSpPr>
      <xdr:spPr bwMode="auto">
        <a:xfrm>
          <a:off x="0" y="1524000"/>
          <a:ext cx="1905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0</xdr:col>
      <xdr:colOff>0</xdr:colOff>
      <xdr:row>8</xdr:row>
      <xdr:rowOff>0</xdr:rowOff>
    </xdr:from>
    <xdr:to>
      <xdr:col>0</xdr:col>
      <xdr:colOff>19050</xdr:colOff>
      <xdr:row>8</xdr:row>
      <xdr:rowOff>0</xdr:rowOff>
    </xdr:to>
    <xdr:sp macro="" textlink="">
      <xdr:nvSpPr>
        <xdr:cNvPr id="6" name="Line 20"/>
        <xdr:cNvSpPr>
          <a:spLocks noChangeShapeType="1"/>
        </xdr:cNvSpPr>
      </xdr:nvSpPr>
      <xdr:spPr bwMode="auto">
        <a:xfrm>
          <a:off x="0" y="1524000"/>
          <a:ext cx="1905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0</xdr:col>
      <xdr:colOff>0</xdr:colOff>
      <xdr:row>8</xdr:row>
      <xdr:rowOff>0</xdr:rowOff>
    </xdr:from>
    <xdr:to>
      <xdr:col>0</xdr:col>
      <xdr:colOff>19050</xdr:colOff>
      <xdr:row>8</xdr:row>
      <xdr:rowOff>0</xdr:rowOff>
    </xdr:to>
    <xdr:sp macro="" textlink="">
      <xdr:nvSpPr>
        <xdr:cNvPr id="7" name="Line 21"/>
        <xdr:cNvSpPr>
          <a:spLocks noChangeShapeType="1"/>
        </xdr:cNvSpPr>
      </xdr:nvSpPr>
      <xdr:spPr bwMode="auto">
        <a:xfrm>
          <a:off x="0" y="1524000"/>
          <a:ext cx="1905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0</xdr:col>
      <xdr:colOff>0</xdr:colOff>
      <xdr:row>8</xdr:row>
      <xdr:rowOff>0</xdr:rowOff>
    </xdr:from>
    <xdr:to>
      <xdr:col>0</xdr:col>
      <xdr:colOff>19050</xdr:colOff>
      <xdr:row>8</xdr:row>
      <xdr:rowOff>0</xdr:rowOff>
    </xdr:to>
    <xdr:sp macro="" textlink="">
      <xdr:nvSpPr>
        <xdr:cNvPr id="8" name="Line 19"/>
        <xdr:cNvSpPr>
          <a:spLocks noChangeShapeType="1"/>
        </xdr:cNvSpPr>
      </xdr:nvSpPr>
      <xdr:spPr bwMode="auto">
        <a:xfrm>
          <a:off x="0" y="1524000"/>
          <a:ext cx="1905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0</xdr:col>
      <xdr:colOff>0</xdr:colOff>
      <xdr:row>8</xdr:row>
      <xdr:rowOff>0</xdr:rowOff>
    </xdr:from>
    <xdr:to>
      <xdr:col>0</xdr:col>
      <xdr:colOff>19050</xdr:colOff>
      <xdr:row>8</xdr:row>
      <xdr:rowOff>0</xdr:rowOff>
    </xdr:to>
    <xdr:sp macro="" textlink="">
      <xdr:nvSpPr>
        <xdr:cNvPr id="9" name="Line 20"/>
        <xdr:cNvSpPr>
          <a:spLocks noChangeShapeType="1"/>
        </xdr:cNvSpPr>
      </xdr:nvSpPr>
      <xdr:spPr bwMode="auto">
        <a:xfrm>
          <a:off x="0" y="1524000"/>
          <a:ext cx="1905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0</xdr:col>
      <xdr:colOff>0</xdr:colOff>
      <xdr:row>8</xdr:row>
      <xdr:rowOff>0</xdr:rowOff>
    </xdr:from>
    <xdr:to>
      <xdr:col>0</xdr:col>
      <xdr:colOff>19050</xdr:colOff>
      <xdr:row>8</xdr:row>
      <xdr:rowOff>0</xdr:rowOff>
    </xdr:to>
    <xdr:sp macro="" textlink="">
      <xdr:nvSpPr>
        <xdr:cNvPr id="10" name="Line 21"/>
        <xdr:cNvSpPr>
          <a:spLocks noChangeShapeType="1"/>
        </xdr:cNvSpPr>
      </xdr:nvSpPr>
      <xdr:spPr bwMode="auto">
        <a:xfrm>
          <a:off x="0" y="1524000"/>
          <a:ext cx="1905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0</xdr:col>
      <xdr:colOff>0</xdr:colOff>
      <xdr:row>10</xdr:row>
      <xdr:rowOff>0</xdr:rowOff>
    </xdr:from>
    <xdr:to>
      <xdr:col>0</xdr:col>
      <xdr:colOff>19050</xdr:colOff>
      <xdr:row>10</xdr:row>
      <xdr:rowOff>0</xdr:rowOff>
    </xdr:to>
    <xdr:sp macro="" textlink="">
      <xdr:nvSpPr>
        <xdr:cNvPr id="11" name="Line 19"/>
        <xdr:cNvSpPr>
          <a:spLocks noChangeShapeType="1"/>
        </xdr:cNvSpPr>
      </xdr:nvSpPr>
      <xdr:spPr bwMode="auto">
        <a:xfrm>
          <a:off x="0" y="1905000"/>
          <a:ext cx="1905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0</xdr:col>
      <xdr:colOff>0</xdr:colOff>
      <xdr:row>10</xdr:row>
      <xdr:rowOff>0</xdr:rowOff>
    </xdr:from>
    <xdr:to>
      <xdr:col>0</xdr:col>
      <xdr:colOff>19050</xdr:colOff>
      <xdr:row>10</xdr:row>
      <xdr:rowOff>0</xdr:rowOff>
    </xdr:to>
    <xdr:sp macro="" textlink="">
      <xdr:nvSpPr>
        <xdr:cNvPr id="12" name="Line 20"/>
        <xdr:cNvSpPr>
          <a:spLocks noChangeShapeType="1"/>
        </xdr:cNvSpPr>
      </xdr:nvSpPr>
      <xdr:spPr bwMode="auto">
        <a:xfrm>
          <a:off x="0" y="1905000"/>
          <a:ext cx="1905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0</xdr:col>
      <xdr:colOff>0</xdr:colOff>
      <xdr:row>10</xdr:row>
      <xdr:rowOff>0</xdr:rowOff>
    </xdr:from>
    <xdr:to>
      <xdr:col>0</xdr:col>
      <xdr:colOff>19050</xdr:colOff>
      <xdr:row>10</xdr:row>
      <xdr:rowOff>0</xdr:rowOff>
    </xdr:to>
    <xdr:sp macro="" textlink="">
      <xdr:nvSpPr>
        <xdr:cNvPr id="13" name="Line 21"/>
        <xdr:cNvSpPr>
          <a:spLocks noChangeShapeType="1"/>
        </xdr:cNvSpPr>
      </xdr:nvSpPr>
      <xdr:spPr bwMode="auto">
        <a:xfrm>
          <a:off x="0" y="1905000"/>
          <a:ext cx="1905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0</xdr:col>
      <xdr:colOff>0</xdr:colOff>
      <xdr:row>10</xdr:row>
      <xdr:rowOff>0</xdr:rowOff>
    </xdr:from>
    <xdr:to>
      <xdr:col>0</xdr:col>
      <xdr:colOff>19050</xdr:colOff>
      <xdr:row>10</xdr:row>
      <xdr:rowOff>0</xdr:rowOff>
    </xdr:to>
    <xdr:sp macro="" textlink="">
      <xdr:nvSpPr>
        <xdr:cNvPr id="14" name="Line 19"/>
        <xdr:cNvSpPr>
          <a:spLocks noChangeShapeType="1"/>
        </xdr:cNvSpPr>
      </xdr:nvSpPr>
      <xdr:spPr bwMode="auto">
        <a:xfrm>
          <a:off x="0" y="1905000"/>
          <a:ext cx="1905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0</xdr:col>
      <xdr:colOff>0</xdr:colOff>
      <xdr:row>10</xdr:row>
      <xdr:rowOff>0</xdr:rowOff>
    </xdr:from>
    <xdr:to>
      <xdr:col>0</xdr:col>
      <xdr:colOff>19050</xdr:colOff>
      <xdr:row>10</xdr:row>
      <xdr:rowOff>0</xdr:rowOff>
    </xdr:to>
    <xdr:sp macro="" textlink="">
      <xdr:nvSpPr>
        <xdr:cNvPr id="15" name="Line 20"/>
        <xdr:cNvSpPr>
          <a:spLocks noChangeShapeType="1"/>
        </xdr:cNvSpPr>
      </xdr:nvSpPr>
      <xdr:spPr bwMode="auto">
        <a:xfrm>
          <a:off x="0" y="1905000"/>
          <a:ext cx="1905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0</xdr:col>
      <xdr:colOff>0</xdr:colOff>
      <xdr:row>10</xdr:row>
      <xdr:rowOff>0</xdr:rowOff>
    </xdr:from>
    <xdr:to>
      <xdr:col>0</xdr:col>
      <xdr:colOff>19050</xdr:colOff>
      <xdr:row>10</xdr:row>
      <xdr:rowOff>0</xdr:rowOff>
    </xdr:to>
    <xdr:sp macro="" textlink="">
      <xdr:nvSpPr>
        <xdr:cNvPr id="16" name="Line 21"/>
        <xdr:cNvSpPr>
          <a:spLocks noChangeShapeType="1"/>
        </xdr:cNvSpPr>
      </xdr:nvSpPr>
      <xdr:spPr bwMode="auto">
        <a:xfrm>
          <a:off x="0" y="1905000"/>
          <a:ext cx="1905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23</xdr:row>
      <xdr:rowOff>0</xdr:rowOff>
    </xdr:from>
    <xdr:to>
      <xdr:col>1</xdr:col>
      <xdr:colOff>0</xdr:colOff>
      <xdr:row>23</xdr:row>
      <xdr:rowOff>0</xdr:rowOff>
    </xdr:to>
    <xdr:sp macro="" textlink="">
      <xdr:nvSpPr>
        <xdr:cNvPr id="17" name="Line 9"/>
        <xdr:cNvSpPr>
          <a:spLocks noChangeShapeType="1"/>
        </xdr:cNvSpPr>
      </xdr:nvSpPr>
      <xdr:spPr bwMode="auto">
        <a:xfrm>
          <a:off x="723900" y="4381500"/>
          <a:ext cx="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23</xdr:row>
      <xdr:rowOff>0</xdr:rowOff>
    </xdr:from>
    <xdr:to>
      <xdr:col>1</xdr:col>
      <xdr:colOff>0</xdr:colOff>
      <xdr:row>23</xdr:row>
      <xdr:rowOff>0</xdr:rowOff>
    </xdr:to>
    <xdr:sp macro="" textlink="">
      <xdr:nvSpPr>
        <xdr:cNvPr id="18" name="Line 10"/>
        <xdr:cNvSpPr>
          <a:spLocks noChangeShapeType="1"/>
        </xdr:cNvSpPr>
      </xdr:nvSpPr>
      <xdr:spPr bwMode="auto">
        <a:xfrm>
          <a:off x="723900" y="4381500"/>
          <a:ext cx="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23</xdr:row>
      <xdr:rowOff>0</xdr:rowOff>
    </xdr:from>
    <xdr:to>
      <xdr:col>1</xdr:col>
      <xdr:colOff>0</xdr:colOff>
      <xdr:row>23</xdr:row>
      <xdr:rowOff>0</xdr:rowOff>
    </xdr:to>
    <xdr:sp macro="" textlink="">
      <xdr:nvSpPr>
        <xdr:cNvPr id="19" name="Line 11"/>
        <xdr:cNvSpPr>
          <a:spLocks noChangeShapeType="1"/>
        </xdr:cNvSpPr>
      </xdr:nvSpPr>
      <xdr:spPr bwMode="auto">
        <a:xfrm>
          <a:off x="723900" y="4381500"/>
          <a:ext cx="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23</xdr:row>
      <xdr:rowOff>0</xdr:rowOff>
    </xdr:from>
    <xdr:to>
      <xdr:col>1</xdr:col>
      <xdr:colOff>0</xdr:colOff>
      <xdr:row>23</xdr:row>
      <xdr:rowOff>0</xdr:rowOff>
    </xdr:to>
    <xdr:sp macro="" textlink="">
      <xdr:nvSpPr>
        <xdr:cNvPr id="20" name="Line 12"/>
        <xdr:cNvSpPr>
          <a:spLocks noChangeShapeType="1"/>
        </xdr:cNvSpPr>
      </xdr:nvSpPr>
      <xdr:spPr bwMode="auto">
        <a:xfrm>
          <a:off x="723900" y="4381500"/>
          <a:ext cx="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23</xdr:row>
      <xdr:rowOff>0</xdr:rowOff>
    </xdr:from>
    <xdr:to>
      <xdr:col>1</xdr:col>
      <xdr:colOff>0</xdr:colOff>
      <xdr:row>23</xdr:row>
      <xdr:rowOff>0</xdr:rowOff>
    </xdr:to>
    <xdr:sp macro="" textlink="">
      <xdr:nvSpPr>
        <xdr:cNvPr id="21" name="Line 22"/>
        <xdr:cNvSpPr>
          <a:spLocks noChangeShapeType="1"/>
        </xdr:cNvSpPr>
      </xdr:nvSpPr>
      <xdr:spPr bwMode="auto">
        <a:xfrm>
          <a:off x="723900" y="4381500"/>
          <a:ext cx="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23</xdr:row>
      <xdr:rowOff>0</xdr:rowOff>
    </xdr:from>
    <xdr:to>
      <xdr:col>1</xdr:col>
      <xdr:colOff>0</xdr:colOff>
      <xdr:row>23</xdr:row>
      <xdr:rowOff>0</xdr:rowOff>
    </xdr:to>
    <xdr:sp macro="" textlink="">
      <xdr:nvSpPr>
        <xdr:cNvPr id="22" name="Line 23"/>
        <xdr:cNvSpPr>
          <a:spLocks noChangeShapeType="1"/>
        </xdr:cNvSpPr>
      </xdr:nvSpPr>
      <xdr:spPr bwMode="auto">
        <a:xfrm>
          <a:off x="723900" y="4381500"/>
          <a:ext cx="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23</xdr:row>
      <xdr:rowOff>0</xdr:rowOff>
    </xdr:from>
    <xdr:to>
      <xdr:col>1</xdr:col>
      <xdr:colOff>0</xdr:colOff>
      <xdr:row>23</xdr:row>
      <xdr:rowOff>0</xdr:rowOff>
    </xdr:to>
    <xdr:sp macro="" textlink="">
      <xdr:nvSpPr>
        <xdr:cNvPr id="23" name="Line 9"/>
        <xdr:cNvSpPr>
          <a:spLocks noChangeShapeType="1"/>
        </xdr:cNvSpPr>
      </xdr:nvSpPr>
      <xdr:spPr bwMode="auto">
        <a:xfrm>
          <a:off x="723900" y="4381500"/>
          <a:ext cx="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23</xdr:row>
      <xdr:rowOff>0</xdr:rowOff>
    </xdr:from>
    <xdr:to>
      <xdr:col>1</xdr:col>
      <xdr:colOff>0</xdr:colOff>
      <xdr:row>23</xdr:row>
      <xdr:rowOff>0</xdr:rowOff>
    </xdr:to>
    <xdr:sp macro="" textlink="">
      <xdr:nvSpPr>
        <xdr:cNvPr id="24" name="Line 10"/>
        <xdr:cNvSpPr>
          <a:spLocks noChangeShapeType="1"/>
        </xdr:cNvSpPr>
      </xdr:nvSpPr>
      <xdr:spPr bwMode="auto">
        <a:xfrm>
          <a:off x="723900" y="4381500"/>
          <a:ext cx="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23</xdr:row>
      <xdr:rowOff>0</xdr:rowOff>
    </xdr:from>
    <xdr:to>
      <xdr:col>1</xdr:col>
      <xdr:colOff>0</xdr:colOff>
      <xdr:row>23</xdr:row>
      <xdr:rowOff>0</xdr:rowOff>
    </xdr:to>
    <xdr:sp macro="" textlink="">
      <xdr:nvSpPr>
        <xdr:cNvPr id="25" name="Line 11"/>
        <xdr:cNvSpPr>
          <a:spLocks noChangeShapeType="1"/>
        </xdr:cNvSpPr>
      </xdr:nvSpPr>
      <xdr:spPr bwMode="auto">
        <a:xfrm>
          <a:off x="723900" y="4381500"/>
          <a:ext cx="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23</xdr:row>
      <xdr:rowOff>0</xdr:rowOff>
    </xdr:from>
    <xdr:to>
      <xdr:col>1</xdr:col>
      <xdr:colOff>0</xdr:colOff>
      <xdr:row>23</xdr:row>
      <xdr:rowOff>0</xdr:rowOff>
    </xdr:to>
    <xdr:sp macro="" textlink="">
      <xdr:nvSpPr>
        <xdr:cNvPr id="26" name="Line 12"/>
        <xdr:cNvSpPr>
          <a:spLocks noChangeShapeType="1"/>
        </xdr:cNvSpPr>
      </xdr:nvSpPr>
      <xdr:spPr bwMode="auto">
        <a:xfrm>
          <a:off x="723900" y="4381500"/>
          <a:ext cx="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23</xdr:row>
      <xdr:rowOff>0</xdr:rowOff>
    </xdr:from>
    <xdr:to>
      <xdr:col>1</xdr:col>
      <xdr:colOff>9525</xdr:colOff>
      <xdr:row>23</xdr:row>
      <xdr:rowOff>0</xdr:rowOff>
    </xdr:to>
    <xdr:sp macro="" textlink="">
      <xdr:nvSpPr>
        <xdr:cNvPr id="27" name="Line 16"/>
        <xdr:cNvSpPr>
          <a:spLocks noChangeShapeType="1"/>
        </xdr:cNvSpPr>
      </xdr:nvSpPr>
      <xdr:spPr bwMode="auto">
        <a:xfrm>
          <a:off x="723900" y="4381500"/>
          <a:ext cx="9525"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23</xdr:row>
      <xdr:rowOff>0</xdr:rowOff>
    </xdr:from>
    <xdr:to>
      <xdr:col>1</xdr:col>
      <xdr:colOff>9525</xdr:colOff>
      <xdr:row>23</xdr:row>
      <xdr:rowOff>0</xdr:rowOff>
    </xdr:to>
    <xdr:sp macro="" textlink="">
      <xdr:nvSpPr>
        <xdr:cNvPr id="28" name="Line 17"/>
        <xdr:cNvSpPr>
          <a:spLocks noChangeShapeType="1"/>
        </xdr:cNvSpPr>
      </xdr:nvSpPr>
      <xdr:spPr bwMode="auto">
        <a:xfrm>
          <a:off x="723900" y="4381500"/>
          <a:ext cx="9525"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23</xdr:row>
      <xdr:rowOff>0</xdr:rowOff>
    </xdr:from>
    <xdr:to>
      <xdr:col>1</xdr:col>
      <xdr:colOff>9525</xdr:colOff>
      <xdr:row>23</xdr:row>
      <xdr:rowOff>0</xdr:rowOff>
    </xdr:to>
    <xdr:sp macro="" textlink="">
      <xdr:nvSpPr>
        <xdr:cNvPr id="29" name="Line 18"/>
        <xdr:cNvSpPr>
          <a:spLocks noChangeShapeType="1"/>
        </xdr:cNvSpPr>
      </xdr:nvSpPr>
      <xdr:spPr bwMode="auto">
        <a:xfrm>
          <a:off x="723900" y="4381500"/>
          <a:ext cx="9525"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23</xdr:row>
      <xdr:rowOff>0</xdr:rowOff>
    </xdr:from>
    <xdr:to>
      <xdr:col>1</xdr:col>
      <xdr:colOff>0</xdr:colOff>
      <xdr:row>23</xdr:row>
      <xdr:rowOff>0</xdr:rowOff>
    </xdr:to>
    <xdr:sp macro="" textlink="">
      <xdr:nvSpPr>
        <xdr:cNvPr id="30" name="Line 22"/>
        <xdr:cNvSpPr>
          <a:spLocks noChangeShapeType="1"/>
        </xdr:cNvSpPr>
      </xdr:nvSpPr>
      <xdr:spPr bwMode="auto">
        <a:xfrm>
          <a:off x="723900" y="4381500"/>
          <a:ext cx="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23</xdr:row>
      <xdr:rowOff>0</xdr:rowOff>
    </xdr:from>
    <xdr:to>
      <xdr:col>1</xdr:col>
      <xdr:colOff>0</xdr:colOff>
      <xdr:row>23</xdr:row>
      <xdr:rowOff>0</xdr:rowOff>
    </xdr:to>
    <xdr:sp macro="" textlink="">
      <xdr:nvSpPr>
        <xdr:cNvPr id="31" name="Line 23"/>
        <xdr:cNvSpPr>
          <a:spLocks noChangeShapeType="1"/>
        </xdr:cNvSpPr>
      </xdr:nvSpPr>
      <xdr:spPr bwMode="auto">
        <a:xfrm>
          <a:off x="723900" y="4381500"/>
          <a:ext cx="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23</xdr:row>
      <xdr:rowOff>0</xdr:rowOff>
    </xdr:from>
    <xdr:to>
      <xdr:col>1</xdr:col>
      <xdr:colOff>0</xdr:colOff>
      <xdr:row>23</xdr:row>
      <xdr:rowOff>0</xdr:rowOff>
    </xdr:to>
    <xdr:sp macro="" textlink="">
      <xdr:nvSpPr>
        <xdr:cNvPr id="32" name="Line 9"/>
        <xdr:cNvSpPr>
          <a:spLocks noChangeShapeType="1"/>
        </xdr:cNvSpPr>
      </xdr:nvSpPr>
      <xdr:spPr bwMode="auto">
        <a:xfrm>
          <a:off x="723900" y="4381500"/>
          <a:ext cx="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23</xdr:row>
      <xdr:rowOff>0</xdr:rowOff>
    </xdr:from>
    <xdr:to>
      <xdr:col>1</xdr:col>
      <xdr:colOff>0</xdr:colOff>
      <xdr:row>23</xdr:row>
      <xdr:rowOff>0</xdr:rowOff>
    </xdr:to>
    <xdr:sp macro="" textlink="">
      <xdr:nvSpPr>
        <xdr:cNvPr id="33" name="Line 10"/>
        <xdr:cNvSpPr>
          <a:spLocks noChangeShapeType="1"/>
        </xdr:cNvSpPr>
      </xdr:nvSpPr>
      <xdr:spPr bwMode="auto">
        <a:xfrm>
          <a:off x="723900" y="4381500"/>
          <a:ext cx="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23</xdr:row>
      <xdr:rowOff>0</xdr:rowOff>
    </xdr:from>
    <xdr:to>
      <xdr:col>1</xdr:col>
      <xdr:colOff>0</xdr:colOff>
      <xdr:row>23</xdr:row>
      <xdr:rowOff>0</xdr:rowOff>
    </xdr:to>
    <xdr:sp macro="" textlink="">
      <xdr:nvSpPr>
        <xdr:cNvPr id="34" name="Line 11"/>
        <xdr:cNvSpPr>
          <a:spLocks noChangeShapeType="1"/>
        </xdr:cNvSpPr>
      </xdr:nvSpPr>
      <xdr:spPr bwMode="auto">
        <a:xfrm>
          <a:off x="723900" y="4381500"/>
          <a:ext cx="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23</xdr:row>
      <xdr:rowOff>0</xdr:rowOff>
    </xdr:from>
    <xdr:to>
      <xdr:col>1</xdr:col>
      <xdr:colOff>0</xdr:colOff>
      <xdr:row>23</xdr:row>
      <xdr:rowOff>0</xdr:rowOff>
    </xdr:to>
    <xdr:sp macro="" textlink="">
      <xdr:nvSpPr>
        <xdr:cNvPr id="35" name="Line 12"/>
        <xdr:cNvSpPr>
          <a:spLocks noChangeShapeType="1"/>
        </xdr:cNvSpPr>
      </xdr:nvSpPr>
      <xdr:spPr bwMode="auto">
        <a:xfrm>
          <a:off x="723900" y="4381500"/>
          <a:ext cx="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23</xdr:row>
      <xdr:rowOff>0</xdr:rowOff>
    </xdr:from>
    <xdr:to>
      <xdr:col>1</xdr:col>
      <xdr:colOff>0</xdr:colOff>
      <xdr:row>23</xdr:row>
      <xdr:rowOff>0</xdr:rowOff>
    </xdr:to>
    <xdr:sp macro="" textlink="">
      <xdr:nvSpPr>
        <xdr:cNvPr id="36" name="Line 22"/>
        <xdr:cNvSpPr>
          <a:spLocks noChangeShapeType="1"/>
        </xdr:cNvSpPr>
      </xdr:nvSpPr>
      <xdr:spPr bwMode="auto">
        <a:xfrm>
          <a:off x="723900" y="4381500"/>
          <a:ext cx="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23</xdr:row>
      <xdr:rowOff>0</xdr:rowOff>
    </xdr:from>
    <xdr:to>
      <xdr:col>1</xdr:col>
      <xdr:colOff>0</xdr:colOff>
      <xdr:row>23</xdr:row>
      <xdr:rowOff>0</xdr:rowOff>
    </xdr:to>
    <xdr:sp macro="" textlink="">
      <xdr:nvSpPr>
        <xdr:cNvPr id="37" name="Line 23"/>
        <xdr:cNvSpPr>
          <a:spLocks noChangeShapeType="1"/>
        </xdr:cNvSpPr>
      </xdr:nvSpPr>
      <xdr:spPr bwMode="auto">
        <a:xfrm>
          <a:off x="723900" y="4381500"/>
          <a:ext cx="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23</xdr:row>
      <xdr:rowOff>0</xdr:rowOff>
    </xdr:from>
    <xdr:to>
      <xdr:col>1</xdr:col>
      <xdr:colOff>0</xdr:colOff>
      <xdr:row>23</xdr:row>
      <xdr:rowOff>0</xdr:rowOff>
    </xdr:to>
    <xdr:sp macro="" textlink="">
      <xdr:nvSpPr>
        <xdr:cNvPr id="38" name="Line 9"/>
        <xdr:cNvSpPr>
          <a:spLocks noChangeShapeType="1"/>
        </xdr:cNvSpPr>
      </xdr:nvSpPr>
      <xdr:spPr bwMode="auto">
        <a:xfrm>
          <a:off x="723900" y="4381500"/>
          <a:ext cx="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23</xdr:row>
      <xdr:rowOff>0</xdr:rowOff>
    </xdr:from>
    <xdr:to>
      <xdr:col>1</xdr:col>
      <xdr:colOff>0</xdr:colOff>
      <xdr:row>23</xdr:row>
      <xdr:rowOff>0</xdr:rowOff>
    </xdr:to>
    <xdr:sp macro="" textlink="">
      <xdr:nvSpPr>
        <xdr:cNvPr id="39" name="Line 10"/>
        <xdr:cNvSpPr>
          <a:spLocks noChangeShapeType="1"/>
        </xdr:cNvSpPr>
      </xdr:nvSpPr>
      <xdr:spPr bwMode="auto">
        <a:xfrm>
          <a:off x="723900" y="4381500"/>
          <a:ext cx="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23</xdr:row>
      <xdr:rowOff>0</xdr:rowOff>
    </xdr:from>
    <xdr:to>
      <xdr:col>1</xdr:col>
      <xdr:colOff>0</xdr:colOff>
      <xdr:row>23</xdr:row>
      <xdr:rowOff>0</xdr:rowOff>
    </xdr:to>
    <xdr:sp macro="" textlink="">
      <xdr:nvSpPr>
        <xdr:cNvPr id="40" name="Line 11"/>
        <xdr:cNvSpPr>
          <a:spLocks noChangeShapeType="1"/>
        </xdr:cNvSpPr>
      </xdr:nvSpPr>
      <xdr:spPr bwMode="auto">
        <a:xfrm>
          <a:off x="723900" y="4381500"/>
          <a:ext cx="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23</xdr:row>
      <xdr:rowOff>0</xdr:rowOff>
    </xdr:from>
    <xdr:to>
      <xdr:col>1</xdr:col>
      <xdr:colOff>0</xdr:colOff>
      <xdr:row>23</xdr:row>
      <xdr:rowOff>0</xdr:rowOff>
    </xdr:to>
    <xdr:sp macro="" textlink="">
      <xdr:nvSpPr>
        <xdr:cNvPr id="41" name="Line 12"/>
        <xdr:cNvSpPr>
          <a:spLocks noChangeShapeType="1"/>
        </xdr:cNvSpPr>
      </xdr:nvSpPr>
      <xdr:spPr bwMode="auto">
        <a:xfrm>
          <a:off x="723900" y="4381500"/>
          <a:ext cx="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23</xdr:row>
      <xdr:rowOff>0</xdr:rowOff>
    </xdr:from>
    <xdr:to>
      <xdr:col>1</xdr:col>
      <xdr:colOff>9525</xdr:colOff>
      <xdr:row>23</xdr:row>
      <xdr:rowOff>0</xdr:rowOff>
    </xdr:to>
    <xdr:sp macro="" textlink="">
      <xdr:nvSpPr>
        <xdr:cNvPr id="42" name="Line 16"/>
        <xdr:cNvSpPr>
          <a:spLocks noChangeShapeType="1"/>
        </xdr:cNvSpPr>
      </xdr:nvSpPr>
      <xdr:spPr bwMode="auto">
        <a:xfrm>
          <a:off x="723900" y="4381500"/>
          <a:ext cx="9525"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23</xdr:row>
      <xdr:rowOff>0</xdr:rowOff>
    </xdr:from>
    <xdr:to>
      <xdr:col>1</xdr:col>
      <xdr:colOff>9525</xdr:colOff>
      <xdr:row>23</xdr:row>
      <xdr:rowOff>0</xdr:rowOff>
    </xdr:to>
    <xdr:sp macro="" textlink="">
      <xdr:nvSpPr>
        <xdr:cNvPr id="43" name="Line 17"/>
        <xdr:cNvSpPr>
          <a:spLocks noChangeShapeType="1"/>
        </xdr:cNvSpPr>
      </xdr:nvSpPr>
      <xdr:spPr bwMode="auto">
        <a:xfrm>
          <a:off x="723900" y="4381500"/>
          <a:ext cx="9525"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23</xdr:row>
      <xdr:rowOff>0</xdr:rowOff>
    </xdr:from>
    <xdr:to>
      <xdr:col>1</xdr:col>
      <xdr:colOff>9525</xdr:colOff>
      <xdr:row>23</xdr:row>
      <xdr:rowOff>0</xdr:rowOff>
    </xdr:to>
    <xdr:sp macro="" textlink="">
      <xdr:nvSpPr>
        <xdr:cNvPr id="44" name="Line 18"/>
        <xdr:cNvSpPr>
          <a:spLocks noChangeShapeType="1"/>
        </xdr:cNvSpPr>
      </xdr:nvSpPr>
      <xdr:spPr bwMode="auto">
        <a:xfrm>
          <a:off x="723900" y="4381500"/>
          <a:ext cx="9525"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23</xdr:row>
      <xdr:rowOff>0</xdr:rowOff>
    </xdr:from>
    <xdr:to>
      <xdr:col>1</xdr:col>
      <xdr:colOff>0</xdr:colOff>
      <xdr:row>23</xdr:row>
      <xdr:rowOff>0</xdr:rowOff>
    </xdr:to>
    <xdr:sp macro="" textlink="">
      <xdr:nvSpPr>
        <xdr:cNvPr id="45" name="Line 22"/>
        <xdr:cNvSpPr>
          <a:spLocks noChangeShapeType="1"/>
        </xdr:cNvSpPr>
      </xdr:nvSpPr>
      <xdr:spPr bwMode="auto">
        <a:xfrm>
          <a:off x="723900" y="4381500"/>
          <a:ext cx="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23</xdr:row>
      <xdr:rowOff>0</xdr:rowOff>
    </xdr:from>
    <xdr:to>
      <xdr:col>1</xdr:col>
      <xdr:colOff>0</xdr:colOff>
      <xdr:row>23</xdr:row>
      <xdr:rowOff>0</xdr:rowOff>
    </xdr:to>
    <xdr:sp macro="" textlink="">
      <xdr:nvSpPr>
        <xdr:cNvPr id="46" name="Line 23"/>
        <xdr:cNvSpPr>
          <a:spLocks noChangeShapeType="1"/>
        </xdr:cNvSpPr>
      </xdr:nvSpPr>
      <xdr:spPr bwMode="auto">
        <a:xfrm>
          <a:off x="723900" y="4381500"/>
          <a:ext cx="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25</xdr:row>
      <xdr:rowOff>0</xdr:rowOff>
    </xdr:from>
    <xdr:to>
      <xdr:col>1</xdr:col>
      <xdr:colOff>0</xdr:colOff>
      <xdr:row>25</xdr:row>
      <xdr:rowOff>0</xdr:rowOff>
    </xdr:to>
    <xdr:sp macro="" textlink="">
      <xdr:nvSpPr>
        <xdr:cNvPr id="47" name="Line 9"/>
        <xdr:cNvSpPr>
          <a:spLocks noChangeShapeType="1"/>
        </xdr:cNvSpPr>
      </xdr:nvSpPr>
      <xdr:spPr bwMode="auto">
        <a:xfrm>
          <a:off x="723900" y="4762500"/>
          <a:ext cx="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25</xdr:row>
      <xdr:rowOff>0</xdr:rowOff>
    </xdr:from>
    <xdr:to>
      <xdr:col>1</xdr:col>
      <xdr:colOff>0</xdr:colOff>
      <xdr:row>25</xdr:row>
      <xdr:rowOff>0</xdr:rowOff>
    </xdr:to>
    <xdr:sp macro="" textlink="">
      <xdr:nvSpPr>
        <xdr:cNvPr id="48" name="Line 10"/>
        <xdr:cNvSpPr>
          <a:spLocks noChangeShapeType="1"/>
        </xdr:cNvSpPr>
      </xdr:nvSpPr>
      <xdr:spPr bwMode="auto">
        <a:xfrm>
          <a:off x="723900" y="4762500"/>
          <a:ext cx="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25</xdr:row>
      <xdr:rowOff>0</xdr:rowOff>
    </xdr:from>
    <xdr:to>
      <xdr:col>1</xdr:col>
      <xdr:colOff>0</xdr:colOff>
      <xdr:row>25</xdr:row>
      <xdr:rowOff>0</xdr:rowOff>
    </xdr:to>
    <xdr:sp macro="" textlink="">
      <xdr:nvSpPr>
        <xdr:cNvPr id="49" name="Line 11"/>
        <xdr:cNvSpPr>
          <a:spLocks noChangeShapeType="1"/>
        </xdr:cNvSpPr>
      </xdr:nvSpPr>
      <xdr:spPr bwMode="auto">
        <a:xfrm>
          <a:off x="723900" y="4762500"/>
          <a:ext cx="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25</xdr:row>
      <xdr:rowOff>0</xdr:rowOff>
    </xdr:from>
    <xdr:to>
      <xdr:col>1</xdr:col>
      <xdr:colOff>0</xdr:colOff>
      <xdr:row>25</xdr:row>
      <xdr:rowOff>0</xdr:rowOff>
    </xdr:to>
    <xdr:sp macro="" textlink="">
      <xdr:nvSpPr>
        <xdr:cNvPr id="50" name="Line 12"/>
        <xdr:cNvSpPr>
          <a:spLocks noChangeShapeType="1"/>
        </xdr:cNvSpPr>
      </xdr:nvSpPr>
      <xdr:spPr bwMode="auto">
        <a:xfrm>
          <a:off x="723900" y="4762500"/>
          <a:ext cx="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18</xdr:row>
      <xdr:rowOff>0</xdr:rowOff>
    </xdr:from>
    <xdr:to>
      <xdr:col>1</xdr:col>
      <xdr:colOff>9525</xdr:colOff>
      <xdr:row>18</xdr:row>
      <xdr:rowOff>0</xdr:rowOff>
    </xdr:to>
    <xdr:sp macro="" textlink="">
      <xdr:nvSpPr>
        <xdr:cNvPr id="51" name="Line 16"/>
        <xdr:cNvSpPr>
          <a:spLocks noChangeShapeType="1"/>
        </xdr:cNvSpPr>
      </xdr:nvSpPr>
      <xdr:spPr bwMode="auto">
        <a:xfrm>
          <a:off x="723900" y="3429000"/>
          <a:ext cx="9525"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18</xdr:row>
      <xdr:rowOff>0</xdr:rowOff>
    </xdr:from>
    <xdr:to>
      <xdr:col>1</xdr:col>
      <xdr:colOff>9525</xdr:colOff>
      <xdr:row>18</xdr:row>
      <xdr:rowOff>0</xdr:rowOff>
    </xdr:to>
    <xdr:sp macro="" textlink="">
      <xdr:nvSpPr>
        <xdr:cNvPr id="52" name="Line 17"/>
        <xdr:cNvSpPr>
          <a:spLocks noChangeShapeType="1"/>
        </xdr:cNvSpPr>
      </xdr:nvSpPr>
      <xdr:spPr bwMode="auto">
        <a:xfrm>
          <a:off x="723900" y="3429000"/>
          <a:ext cx="9525"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18</xdr:row>
      <xdr:rowOff>0</xdr:rowOff>
    </xdr:from>
    <xdr:to>
      <xdr:col>1</xdr:col>
      <xdr:colOff>9525</xdr:colOff>
      <xdr:row>18</xdr:row>
      <xdr:rowOff>0</xdr:rowOff>
    </xdr:to>
    <xdr:sp macro="" textlink="">
      <xdr:nvSpPr>
        <xdr:cNvPr id="53" name="Line 18"/>
        <xdr:cNvSpPr>
          <a:spLocks noChangeShapeType="1"/>
        </xdr:cNvSpPr>
      </xdr:nvSpPr>
      <xdr:spPr bwMode="auto">
        <a:xfrm>
          <a:off x="723900" y="3429000"/>
          <a:ext cx="9525"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25</xdr:row>
      <xdr:rowOff>0</xdr:rowOff>
    </xdr:from>
    <xdr:to>
      <xdr:col>1</xdr:col>
      <xdr:colOff>0</xdr:colOff>
      <xdr:row>25</xdr:row>
      <xdr:rowOff>0</xdr:rowOff>
    </xdr:to>
    <xdr:sp macro="" textlink="">
      <xdr:nvSpPr>
        <xdr:cNvPr id="54" name="Line 22"/>
        <xdr:cNvSpPr>
          <a:spLocks noChangeShapeType="1"/>
        </xdr:cNvSpPr>
      </xdr:nvSpPr>
      <xdr:spPr bwMode="auto">
        <a:xfrm>
          <a:off x="723900" y="4762500"/>
          <a:ext cx="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25</xdr:row>
      <xdr:rowOff>0</xdr:rowOff>
    </xdr:from>
    <xdr:to>
      <xdr:col>1</xdr:col>
      <xdr:colOff>0</xdr:colOff>
      <xdr:row>25</xdr:row>
      <xdr:rowOff>0</xdr:rowOff>
    </xdr:to>
    <xdr:sp macro="" textlink="">
      <xdr:nvSpPr>
        <xdr:cNvPr id="55" name="Line 23"/>
        <xdr:cNvSpPr>
          <a:spLocks noChangeShapeType="1"/>
        </xdr:cNvSpPr>
      </xdr:nvSpPr>
      <xdr:spPr bwMode="auto">
        <a:xfrm>
          <a:off x="723900" y="4762500"/>
          <a:ext cx="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0</xdr:col>
      <xdr:colOff>0</xdr:colOff>
      <xdr:row>18</xdr:row>
      <xdr:rowOff>0</xdr:rowOff>
    </xdr:from>
    <xdr:to>
      <xdr:col>0</xdr:col>
      <xdr:colOff>19050</xdr:colOff>
      <xdr:row>18</xdr:row>
      <xdr:rowOff>0</xdr:rowOff>
    </xdr:to>
    <xdr:sp macro="" textlink="">
      <xdr:nvSpPr>
        <xdr:cNvPr id="56" name="Line 1"/>
        <xdr:cNvSpPr>
          <a:spLocks noChangeShapeType="1"/>
        </xdr:cNvSpPr>
      </xdr:nvSpPr>
      <xdr:spPr bwMode="auto">
        <a:xfrm>
          <a:off x="0" y="3429000"/>
          <a:ext cx="1905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0</xdr:col>
      <xdr:colOff>0</xdr:colOff>
      <xdr:row>18</xdr:row>
      <xdr:rowOff>0</xdr:rowOff>
    </xdr:from>
    <xdr:to>
      <xdr:col>0</xdr:col>
      <xdr:colOff>19050</xdr:colOff>
      <xdr:row>18</xdr:row>
      <xdr:rowOff>0</xdr:rowOff>
    </xdr:to>
    <xdr:sp macro="" textlink="">
      <xdr:nvSpPr>
        <xdr:cNvPr id="57" name="Line 2"/>
        <xdr:cNvSpPr>
          <a:spLocks noChangeShapeType="1"/>
        </xdr:cNvSpPr>
      </xdr:nvSpPr>
      <xdr:spPr bwMode="auto">
        <a:xfrm>
          <a:off x="0" y="3429000"/>
          <a:ext cx="1905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0</xdr:col>
      <xdr:colOff>0</xdr:colOff>
      <xdr:row>18</xdr:row>
      <xdr:rowOff>0</xdr:rowOff>
    </xdr:from>
    <xdr:to>
      <xdr:col>0</xdr:col>
      <xdr:colOff>19050</xdr:colOff>
      <xdr:row>18</xdr:row>
      <xdr:rowOff>0</xdr:rowOff>
    </xdr:to>
    <xdr:sp macro="" textlink="">
      <xdr:nvSpPr>
        <xdr:cNvPr id="58" name="Line 3"/>
        <xdr:cNvSpPr>
          <a:spLocks noChangeShapeType="1"/>
        </xdr:cNvSpPr>
      </xdr:nvSpPr>
      <xdr:spPr bwMode="auto">
        <a:xfrm>
          <a:off x="0" y="3429000"/>
          <a:ext cx="1905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25</xdr:row>
      <xdr:rowOff>0</xdr:rowOff>
    </xdr:from>
    <xdr:to>
      <xdr:col>1</xdr:col>
      <xdr:colOff>0</xdr:colOff>
      <xdr:row>25</xdr:row>
      <xdr:rowOff>0</xdr:rowOff>
    </xdr:to>
    <xdr:sp macro="" textlink="">
      <xdr:nvSpPr>
        <xdr:cNvPr id="59" name="Line 9"/>
        <xdr:cNvSpPr>
          <a:spLocks noChangeShapeType="1"/>
        </xdr:cNvSpPr>
      </xdr:nvSpPr>
      <xdr:spPr bwMode="auto">
        <a:xfrm>
          <a:off x="723900" y="4762500"/>
          <a:ext cx="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25</xdr:row>
      <xdr:rowOff>0</xdr:rowOff>
    </xdr:from>
    <xdr:to>
      <xdr:col>1</xdr:col>
      <xdr:colOff>0</xdr:colOff>
      <xdr:row>25</xdr:row>
      <xdr:rowOff>0</xdr:rowOff>
    </xdr:to>
    <xdr:sp macro="" textlink="">
      <xdr:nvSpPr>
        <xdr:cNvPr id="60" name="Line 10"/>
        <xdr:cNvSpPr>
          <a:spLocks noChangeShapeType="1"/>
        </xdr:cNvSpPr>
      </xdr:nvSpPr>
      <xdr:spPr bwMode="auto">
        <a:xfrm>
          <a:off x="723900" y="4762500"/>
          <a:ext cx="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25</xdr:row>
      <xdr:rowOff>0</xdr:rowOff>
    </xdr:from>
    <xdr:to>
      <xdr:col>1</xdr:col>
      <xdr:colOff>0</xdr:colOff>
      <xdr:row>25</xdr:row>
      <xdr:rowOff>0</xdr:rowOff>
    </xdr:to>
    <xdr:sp macro="" textlink="">
      <xdr:nvSpPr>
        <xdr:cNvPr id="61" name="Line 11"/>
        <xdr:cNvSpPr>
          <a:spLocks noChangeShapeType="1"/>
        </xdr:cNvSpPr>
      </xdr:nvSpPr>
      <xdr:spPr bwMode="auto">
        <a:xfrm>
          <a:off x="723900" y="4762500"/>
          <a:ext cx="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25</xdr:row>
      <xdr:rowOff>0</xdr:rowOff>
    </xdr:from>
    <xdr:to>
      <xdr:col>1</xdr:col>
      <xdr:colOff>0</xdr:colOff>
      <xdr:row>25</xdr:row>
      <xdr:rowOff>0</xdr:rowOff>
    </xdr:to>
    <xdr:sp macro="" textlink="">
      <xdr:nvSpPr>
        <xdr:cNvPr id="62" name="Line 12"/>
        <xdr:cNvSpPr>
          <a:spLocks noChangeShapeType="1"/>
        </xdr:cNvSpPr>
      </xdr:nvSpPr>
      <xdr:spPr bwMode="auto">
        <a:xfrm>
          <a:off x="723900" y="4762500"/>
          <a:ext cx="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25</xdr:row>
      <xdr:rowOff>0</xdr:rowOff>
    </xdr:from>
    <xdr:to>
      <xdr:col>1</xdr:col>
      <xdr:colOff>9525</xdr:colOff>
      <xdr:row>25</xdr:row>
      <xdr:rowOff>0</xdr:rowOff>
    </xdr:to>
    <xdr:sp macro="" textlink="">
      <xdr:nvSpPr>
        <xdr:cNvPr id="63" name="Line 16"/>
        <xdr:cNvSpPr>
          <a:spLocks noChangeShapeType="1"/>
        </xdr:cNvSpPr>
      </xdr:nvSpPr>
      <xdr:spPr bwMode="auto">
        <a:xfrm>
          <a:off x="723900" y="4762500"/>
          <a:ext cx="9525"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25</xdr:row>
      <xdr:rowOff>0</xdr:rowOff>
    </xdr:from>
    <xdr:to>
      <xdr:col>1</xdr:col>
      <xdr:colOff>9525</xdr:colOff>
      <xdr:row>25</xdr:row>
      <xdr:rowOff>0</xdr:rowOff>
    </xdr:to>
    <xdr:sp macro="" textlink="">
      <xdr:nvSpPr>
        <xdr:cNvPr id="64" name="Line 17"/>
        <xdr:cNvSpPr>
          <a:spLocks noChangeShapeType="1"/>
        </xdr:cNvSpPr>
      </xdr:nvSpPr>
      <xdr:spPr bwMode="auto">
        <a:xfrm>
          <a:off x="723900" y="4762500"/>
          <a:ext cx="9525"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25</xdr:row>
      <xdr:rowOff>0</xdr:rowOff>
    </xdr:from>
    <xdr:to>
      <xdr:col>1</xdr:col>
      <xdr:colOff>9525</xdr:colOff>
      <xdr:row>25</xdr:row>
      <xdr:rowOff>0</xdr:rowOff>
    </xdr:to>
    <xdr:sp macro="" textlink="">
      <xdr:nvSpPr>
        <xdr:cNvPr id="65" name="Line 18"/>
        <xdr:cNvSpPr>
          <a:spLocks noChangeShapeType="1"/>
        </xdr:cNvSpPr>
      </xdr:nvSpPr>
      <xdr:spPr bwMode="auto">
        <a:xfrm>
          <a:off x="723900" y="4762500"/>
          <a:ext cx="9525"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0</xdr:col>
      <xdr:colOff>0</xdr:colOff>
      <xdr:row>18</xdr:row>
      <xdr:rowOff>0</xdr:rowOff>
    </xdr:from>
    <xdr:to>
      <xdr:col>0</xdr:col>
      <xdr:colOff>19050</xdr:colOff>
      <xdr:row>18</xdr:row>
      <xdr:rowOff>0</xdr:rowOff>
    </xdr:to>
    <xdr:sp macro="" textlink="">
      <xdr:nvSpPr>
        <xdr:cNvPr id="66" name="Line 19"/>
        <xdr:cNvSpPr>
          <a:spLocks noChangeShapeType="1"/>
        </xdr:cNvSpPr>
      </xdr:nvSpPr>
      <xdr:spPr bwMode="auto">
        <a:xfrm>
          <a:off x="0" y="3429000"/>
          <a:ext cx="1905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0</xdr:col>
      <xdr:colOff>0</xdr:colOff>
      <xdr:row>18</xdr:row>
      <xdr:rowOff>0</xdr:rowOff>
    </xdr:from>
    <xdr:to>
      <xdr:col>0</xdr:col>
      <xdr:colOff>19050</xdr:colOff>
      <xdr:row>18</xdr:row>
      <xdr:rowOff>0</xdr:rowOff>
    </xdr:to>
    <xdr:sp macro="" textlink="">
      <xdr:nvSpPr>
        <xdr:cNvPr id="67" name="Line 20"/>
        <xdr:cNvSpPr>
          <a:spLocks noChangeShapeType="1"/>
        </xdr:cNvSpPr>
      </xdr:nvSpPr>
      <xdr:spPr bwMode="auto">
        <a:xfrm>
          <a:off x="0" y="3429000"/>
          <a:ext cx="1905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0</xdr:col>
      <xdr:colOff>0</xdr:colOff>
      <xdr:row>18</xdr:row>
      <xdr:rowOff>0</xdr:rowOff>
    </xdr:from>
    <xdr:to>
      <xdr:col>0</xdr:col>
      <xdr:colOff>19050</xdr:colOff>
      <xdr:row>18</xdr:row>
      <xdr:rowOff>0</xdr:rowOff>
    </xdr:to>
    <xdr:sp macro="" textlink="">
      <xdr:nvSpPr>
        <xdr:cNvPr id="68" name="Line 21"/>
        <xdr:cNvSpPr>
          <a:spLocks noChangeShapeType="1"/>
        </xdr:cNvSpPr>
      </xdr:nvSpPr>
      <xdr:spPr bwMode="auto">
        <a:xfrm>
          <a:off x="0" y="3429000"/>
          <a:ext cx="1905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25</xdr:row>
      <xdr:rowOff>0</xdr:rowOff>
    </xdr:from>
    <xdr:to>
      <xdr:col>1</xdr:col>
      <xdr:colOff>0</xdr:colOff>
      <xdr:row>25</xdr:row>
      <xdr:rowOff>0</xdr:rowOff>
    </xdr:to>
    <xdr:sp macro="" textlink="">
      <xdr:nvSpPr>
        <xdr:cNvPr id="69" name="Line 22"/>
        <xdr:cNvSpPr>
          <a:spLocks noChangeShapeType="1"/>
        </xdr:cNvSpPr>
      </xdr:nvSpPr>
      <xdr:spPr bwMode="auto">
        <a:xfrm>
          <a:off x="723900" y="4762500"/>
          <a:ext cx="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25</xdr:row>
      <xdr:rowOff>0</xdr:rowOff>
    </xdr:from>
    <xdr:to>
      <xdr:col>1</xdr:col>
      <xdr:colOff>0</xdr:colOff>
      <xdr:row>25</xdr:row>
      <xdr:rowOff>0</xdr:rowOff>
    </xdr:to>
    <xdr:sp macro="" textlink="">
      <xdr:nvSpPr>
        <xdr:cNvPr id="70" name="Line 23"/>
        <xdr:cNvSpPr>
          <a:spLocks noChangeShapeType="1"/>
        </xdr:cNvSpPr>
      </xdr:nvSpPr>
      <xdr:spPr bwMode="auto">
        <a:xfrm>
          <a:off x="723900" y="4762500"/>
          <a:ext cx="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25</xdr:row>
      <xdr:rowOff>0</xdr:rowOff>
    </xdr:from>
    <xdr:to>
      <xdr:col>1</xdr:col>
      <xdr:colOff>0</xdr:colOff>
      <xdr:row>25</xdr:row>
      <xdr:rowOff>0</xdr:rowOff>
    </xdr:to>
    <xdr:sp macro="" textlink="">
      <xdr:nvSpPr>
        <xdr:cNvPr id="71" name="Line 9"/>
        <xdr:cNvSpPr>
          <a:spLocks noChangeShapeType="1"/>
        </xdr:cNvSpPr>
      </xdr:nvSpPr>
      <xdr:spPr bwMode="auto">
        <a:xfrm>
          <a:off x="723900" y="4762500"/>
          <a:ext cx="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25</xdr:row>
      <xdr:rowOff>0</xdr:rowOff>
    </xdr:from>
    <xdr:to>
      <xdr:col>1</xdr:col>
      <xdr:colOff>0</xdr:colOff>
      <xdr:row>25</xdr:row>
      <xdr:rowOff>0</xdr:rowOff>
    </xdr:to>
    <xdr:sp macro="" textlink="">
      <xdr:nvSpPr>
        <xdr:cNvPr id="72" name="Line 10"/>
        <xdr:cNvSpPr>
          <a:spLocks noChangeShapeType="1"/>
        </xdr:cNvSpPr>
      </xdr:nvSpPr>
      <xdr:spPr bwMode="auto">
        <a:xfrm>
          <a:off x="723900" y="4762500"/>
          <a:ext cx="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25</xdr:row>
      <xdr:rowOff>0</xdr:rowOff>
    </xdr:from>
    <xdr:to>
      <xdr:col>1</xdr:col>
      <xdr:colOff>0</xdr:colOff>
      <xdr:row>25</xdr:row>
      <xdr:rowOff>0</xdr:rowOff>
    </xdr:to>
    <xdr:sp macro="" textlink="">
      <xdr:nvSpPr>
        <xdr:cNvPr id="73" name="Line 11"/>
        <xdr:cNvSpPr>
          <a:spLocks noChangeShapeType="1"/>
        </xdr:cNvSpPr>
      </xdr:nvSpPr>
      <xdr:spPr bwMode="auto">
        <a:xfrm>
          <a:off x="723900" y="4762500"/>
          <a:ext cx="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25</xdr:row>
      <xdr:rowOff>0</xdr:rowOff>
    </xdr:from>
    <xdr:to>
      <xdr:col>1</xdr:col>
      <xdr:colOff>0</xdr:colOff>
      <xdr:row>25</xdr:row>
      <xdr:rowOff>0</xdr:rowOff>
    </xdr:to>
    <xdr:sp macro="" textlink="">
      <xdr:nvSpPr>
        <xdr:cNvPr id="74" name="Line 12"/>
        <xdr:cNvSpPr>
          <a:spLocks noChangeShapeType="1"/>
        </xdr:cNvSpPr>
      </xdr:nvSpPr>
      <xdr:spPr bwMode="auto">
        <a:xfrm>
          <a:off x="723900" y="4762500"/>
          <a:ext cx="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18</xdr:row>
      <xdr:rowOff>0</xdr:rowOff>
    </xdr:from>
    <xdr:to>
      <xdr:col>1</xdr:col>
      <xdr:colOff>9525</xdr:colOff>
      <xdr:row>18</xdr:row>
      <xdr:rowOff>0</xdr:rowOff>
    </xdr:to>
    <xdr:sp macro="" textlink="">
      <xdr:nvSpPr>
        <xdr:cNvPr id="75" name="Line 16"/>
        <xdr:cNvSpPr>
          <a:spLocks noChangeShapeType="1"/>
        </xdr:cNvSpPr>
      </xdr:nvSpPr>
      <xdr:spPr bwMode="auto">
        <a:xfrm>
          <a:off x="723900" y="3429000"/>
          <a:ext cx="9525"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18</xdr:row>
      <xdr:rowOff>0</xdr:rowOff>
    </xdr:from>
    <xdr:to>
      <xdr:col>1</xdr:col>
      <xdr:colOff>9525</xdr:colOff>
      <xdr:row>18</xdr:row>
      <xdr:rowOff>0</xdr:rowOff>
    </xdr:to>
    <xdr:sp macro="" textlink="">
      <xdr:nvSpPr>
        <xdr:cNvPr id="76" name="Line 17"/>
        <xdr:cNvSpPr>
          <a:spLocks noChangeShapeType="1"/>
        </xdr:cNvSpPr>
      </xdr:nvSpPr>
      <xdr:spPr bwMode="auto">
        <a:xfrm>
          <a:off x="723900" y="3429000"/>
          <a:ext cx="9525"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18</xdr:row>
      <xdr:rowOff>0</xdr:rowOff>
    </xdr:from>
    <xdr:to>
      <xdr:col>1</xdr:col>
      <xdr:colOff>9525</xdr:colOff>
      <xdr:row>18</xdr:row>
      <xdr:rowOff>0</xdr:rowOff>
    </xdr:to>
    <xdr:sp macro="" textlink="">
      <xdr:nvSpPr>
        <xdr:cNvPr id="77" name="Line 18"/>
        <xdr:cNvSpPr>
          <a:spLocks noChangeShapeType="1"/>
        </xdr:cNvSpPr>
      </xdr:nvSpPr>
      <xdr:spPr bwMode="auto">
        <a:xfrm>
          <a:off x="723900" y="3429000"/>
          <a:ext cx="9525"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25</xdr:row>
      <xdr:rowOff>0</xdr:rowOff>
    </xdr:from>
    <xdr:to>
      <xdr:col>1</xdr:col>
      <xdr:colOff>0</xdr:colOff>
      <xdr:row>25</xdr:row>
      <xdr:rowOff>0</xdr:rowOff>
    </xdr:to>
    <xdr:sp macro="" textlink="">
      <xdr:nvSpPr>
        <xdr:cNvPr id="78" name="Line 22"/>
        <xdr:cNvSpPr>
          <a:spLocks noChangeShapeType="1"/>
        </xdr:cNvSpPr>
      </xdr:nvSpPr>
      <xdr:spPr bwMode="auto">
        <a:xfrm>
          <a:off x="723900" y="4762500"/>
          <a:ext cx="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25</xdr:row>
      <xdr:rowOff>0</xdr:rowOff>
    </xdr:from>
    <xdr:to>
      <xdr:col>1</xdr:col>
      <xdr:colOff>0</xdr:colOff>
      <xdr:row>25</xdr:row>
      <xdr:rowOff>0</xdr:rowOff>
    </xdr:to>
    <xdr:sp macro="" textlink="">
      <xdr:nvSpPr>
        <xdr:cNvPr id="79" name="Line 23"/>
        <xdr:cNvSpPr>
          <a:spLocks noChangeShapeType="1"/>
        </xdr:cNvSpPr>
      </xdr:nvSpPr>
      <xdr:spPr bwMode="auto">
        <a:xfrm>
          <a:off x="723900" y="4762500"/>
          <a:ext cx="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0</xdr:col>
      <xdr:colOff>0</xdr:colOff>
      <xdr:row>18</xdr:row>
      <xdr:rowOff>0</xdr:rowOff>
    </xdr:from>
    <xdr:to>
      <xdr:col>0</xdr:col>
      <xdr:colOff>19050</xdr:colOff>
      <xdr:row>18</xdr:row>
      <xdr:rowOff>0</xdr:rowOff>
    </xdr:to>
    <xdr:sp macro="" textlink="">
      <xdr:nvSpPr>
        <xdr:cNvPr id="80" name="Line 1"/>
        <xdr:cNvSpPr>
          <a:spLocks noChangeShapeType="1"/>
        </xdr:cNvSpPr>
      </xdr:nvSpPr>
      <xdr:spPr bwMode="auto">
        <a:xfrm>
          <a:off x="0" y="3429000"/>
          <a:ext cx="1905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0</xdr:col>
      <xdr:colOff>0</xdr:colOff>
      <xdr:row>18</xdr:row>
      <xdr:rowOff>0</xdr:rowOff>
    </xdr:from>
    <xdr:to>
      <xdr:col>0</xdr:col>
      <xdr:colOff>19050</xdr:colOff>
      <xdr:row>18</xdr:row>
      <xdr:rowOff>0</xdr:rowOff>
    </xdr:to>
    <xdr:sp macro="" textlink="">
      <xdr:nvSpPr>
        <xdr:cNvPr id="81" name="Line 2"/>
        <xdr:cNvSpPr>
          <a:spLocks noChangeShapeType="1"/>
        </xdr:cNvSpPr>
      </xdr:nvSpPr>
      <xdr:spPr bwMode="auto">
        <a:xfrm>
          <a:off x="0" y="3429000"/>
          <a:ext cx="1905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0</xdr:col>
      <xdr:colOff>0</xdr:colOff>
      <xdr:row>18</xdr:row>
      <xdr:rowOff>0</xdr:rowOff>
    </xdr:from>
    <xdr:to>
      <xdr:col>0</xdr:col>
      <xdr:colOff>19050</xdr:colOff>
      <xdr:row>18</xdr:row>
      <xdr:rowOff>0</xdr:rowOff>
    </xdr:to>
    <xdr:sp macro="" textlink="">
      <xdr:nvSpPr>
        <xdr:cNvPr id="82" name="Line 3"/>
        <xdr:cNvSpPr>
          <a:spLocks noChangeShapeType="1"/>
        </xdr:cNvSpPr>
      </xdr:nvSpPr>
      <xdr:spPr bwMode="auto">
        <a:xfrm>
          <a:off x="0" y="3429000"/>
          <a:ext cx="1905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25</xdr:row>
      <xdr:rowOff>0</xdr:rowOff>
    </xdr:from>
    <xdr:to>
      <xdr:col>1</xdr:col>
      <xdr:colOff>0</xdr:colOff>
      <xdr:row>25</xdr:row>
      <xdr:rowOff>0</xdr:rowOff>
    </xdr:to>
    <xdr:sp macro="" textlink="">
      <xdr:nvSpPr>
        <xdr:cNvPr id="83" name="Line 9"/>
        <xdr:cNvSpPr>
          <a:spLocks noChangeShapeType="1"/>
        </xdr:cNvSpPr>
      </xdr:nvSpPr>
      <xdr:spPr bwMode="auto">
        <a:xfrm>
          <a:off x="723900" y="4762500"/>
          <a:ext cx="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25</xdr:row>
      <xdr:rowOff>0</xdr:rowOff>
    </xdr:from>
    <xdr:to>
      <xdr:col>1</xdr:col>
      <xdr:colOff>0</xdr:colOff>
      <xdr:row>25</xdr:row>
      <xdr:rowOff>0</xdr:rowOff>
    </xdr:to>
    <xdr:sp macro="" textlink="">
      <xdr:nvSpPr>
        <xdr:cNvPr id="84" name="Line 10"/>
        <xdr:cNvSpPr>
          <a:spLocks noChangeShapeType="1"/>
        </xdr:cNvSpPr>
      </xdr:nvSpPr>
      <xdr:spPr bwMode="auto">
        <a:xfrm>
          <a:off x="723900" y="4762500"/>
          <a:ext cx="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25</xdr:row>
      <xdr:rowOff>0</xdr:rowOff>
    </xdr:from>
    <xdr:to>
      <xdr:col>1</xdr:col>
      <xdr:colOff>0</xdr:colOff>
      <xdr:row>25</xdr:row>
      <xdr:rowOff>0</xdr:rowOff>
    </xdr:to>
    <xdr:sp macro="" textlink="">
      <xdr:nvSpPr>
        <xdr:cNvPr id="85" name="Line 11"/>
        <xdr:cNvSpPr>
          <a:spLocks noChangeShapeType="1"/>
        </xdr:cNvSpPr>
      </xdr:nvSpPr>
      <xdr:spPr bwMode="auto">
        <a:xfrm>
          <a:off x="723900" y="4762500"/>
          <a:ext cx="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25</xdr:row>
      <xdr:rowOff>0</xdr:rowOff>
    </xdr:from>
    <xdr:to>
      <xdr:col>1</xdr:col>
      <xdr:colOff>0</xdr:colOff>
      <xdr:row>25</xdr:row>
      <xdr:rowOff>0</xdr:rowOff>
    </xdr:to>
    <xdr:sp macro="" textlink="">
      <xdr:nvSpPr>
        <xdr:cNvPr id="86" name="Line 12"/>
        <xdr:cNvSpPr>
          <a:spLocks noChangeShapeType="1"/>
        </xdr:cNvSpPr>
      </xdr:nvSpPr>
      <xdr:spPr bwMode="auto">
        <a:xfrm>
          <a:off x="723900" y="4762500"/>
          <a:ext cx="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25</xdr:row>
      <xdr:rowOff>0</xdr:rowOff>
    </xdr:from>
    <xdr:to>
      <xdr:col>1</xdr:col>
      <xdr:colOff>9525</xdr:colOff>
      <xdr:row>25</xdr:row>
      <xdr:rowOff>0</xdr:rowOff>
    </xdr:to>
    <xdr:sp macro="" textlink="">
      <xdr:nvSpPr>
        <xdr:cNvPr id="87" name="Line 16"/>
        <xdr:cNvSpPr>
          <a:spLocks noChangeShapeType="1"/>
        </xdr:cNvSpPr>
      </xdr:nvSpPr>
      <xdr:spPr bwMode="auto">
        <a:xfrm>
          <a:off x="723900" y="4762500"/>
          <a:ext cx="9525"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25</xdr:row>
      <xdr:rowOff>0</xdr:rowOff>
    </xdr:from>
    <xdr:to>
      <xdr:col>1</xdr:col>
      <xdr:colOff>9525</xdr:colOff>
      <xdr:row>25</xdr:row>
      <xdr:rowOff>0</xdr:rowOff>
    </xdr:to>
    <xdr:sp macro="" textlink="">
      <xdr:nvSpPr>
        <xdr:cNvPr id="88" name="Line 17"/>
        <xdr:cNvSpPr>
          <a:spLocks noChangeShapeType="1"/>
        </xdr:cNvSpPr>
      </xdr:nvSpPr>
      <xdr:spPr bwMode="auto">
        <a:xfrm>
          <a:off x="723900" y="4762500"/>
          <a:ext cx="9525"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25</xdr:row>
      <xdr:rowOff>0</xdr:rowOff>
    </xdr:from>
    <xdr:to>
      <xdr:col>1</xdr:col>
      <xdr:colOff>9525</xdr:colOff>
      <xdr:row>25</xdr:row>
      <xdr:rowOff>0</xdr:rowOff>
    </xdr:to>
    <xdr:sp macro="" textlink="">
      <xdr:nvSpPr>
        <xdr:cNvPr id="89" name="Line 18"/>
        <xdr:cNvSpPr>
          <a:spLocks noChangeShapeType="1"/>
        </xdr:cNvSpPr>
      </xdr:nvSpPr>
      <xdr:spPr bwMode="auto">
        <a:xfrm>
          <a:off x="723900" y="4762500"/>
          <a:ext cx="9525"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0</xdr:col>
      <xdr:colOff>0</xdr:colOff>
      <xdr:row>18</xdr:row>
      <xdr:rowOff>0</xdr:rowOff>
    </xdr:from>
    <xdr:to>
      <xdr:col>0</xdr:col>
      <xdr:colOff>19050</xdr:colOff>
      <xdr:row>18</xdr:row>
      <xdr:rowOff>0</xdr:rowOff>
    </xdr:to>
    <xdr:sp macro="" textlink="">
      <xdr:nvSpPr>
        <xdr:cNvPr id="90" name="Line 19"/>
        <xdr:cNvSpPr>
          <a:spLocks noChangeShapeType="1"/>
        </xdr:cNvSpPr>
      </xdr:nvSpPr>
      <xdr:spPr bwMode="auto">
        <a:xfrm>
          <a:off x="0" y="3429000"/>
          <a:ext cx="1905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0</xdr:col>
      <xdr:colOff>0</xdr:colOff>
      <xdr:row>18</xdr:row>
      <xdr:rowOff>0</xdr:rowOff>
    </xdr:from>
    <xdr:to>
      <xdr:col>0</xdr:col>
      <xdr:colOff>19050</xdr:colOff>
      <xdr:row>18</xdr:row>
      <xdr:rowOff>0</xdr:rowOff>
    </xdr:to>
    <xdr:sp macro="" textlink="">
      <xdr:nvSpPr>
        <xdr:cNvPr id="91" name="Line 20"/>
        <xdr:cNvSpPr>
          <a:spLocks noChangeShapeType="1"/>
        </xdr:cNvSpPr>
      </xdr:nvSpPr>
      <xdr:spPr bwMode="auto">
        <a:xfrm>
          <a:off x="0" y="3429000"/>
          <a:ext cx="1905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0</xdr:col>
      <xdr:colOff>0</xdr:colOff>
      <xdr:row>18</xdr:row>
      <xdr:rowOff>0</xdr:rowOff>
    </xdr:from>
    <xdr:to>
      <xdr:col>0</xdr:col>
      <xdr:colOff>19050</xdr:colOff>
      <xdr:row>18</xdr:row>
      <xdr:rowOff>0</xdr:rowOff>
    </xdr:to>
    <xdr:sp macro="" textlink="">
      <xdr:nvSpPr>
        <xdr:cNvPr id="92" name="Line 21"/>
        <xdr:cNvSpPr>
          <a:spLocks noChangeShapeType="1"/>
        </xdr:cNvSpPr>
      </xdr:nvSpPr>
      <xdr:spPr bwMode="auto">
        <a:xfrm>
          <a:off x="0" y="3429000"/>
          <a:ext cx="1905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25</xdr:row>
      <xdr:rowOff>0</xdr:rowOff>
    </xdr:from>
    <xdr:to>
      <xdr:col>1</xdr:col>
      <xdr:colOff>0</xdr:colOff>
      <xdr:row>25</xdr:row>
      <xdr:rowOff>0</xdr:rowOff>
    </xdr:to>
    <xdr:sp macro="" textlink="">
      <xdr:nvSpPr>
        <xdr:cNvPr id="93" name="Line 22"/>
        <xdr:cNvSpPr>
          <a:spLocks noChangeShapeType="1"/>
        </xdr:cNvSpPr>
      </xdr:nvSpPr>
      <xdr:spPr bwMode="auto">
        <a:xfrm>
          <a:off x="723900" y="4762500"/>
          <a:ext cx="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0</xdr:colOff>
      <xdr:row>25</xdr:row>
      <xdr:rowOff>0</xdr:rowOff>
    </xdr:from>
    <xdr:to>
      <xdr:col>1</xdr:col>
      <xdr:colOff>0</xdr:colOff>
      <xdr:row>25</xdr:row>
      <xdr:rowOff>0</xdr:rowOff>
    </xdr:to>
    <xdr:sp macro="" textlink="">
      <xdr:nvSpPr>
        <xdr:cNvPr id="94" name="Line 23"/>
        <xdr:cNvSpPr>
          <a:spLocks noChangeShapeType="1"/>
        </xdr:cNvSpPr>
      </xdr:nvSpPr>
      <xdr:spPr bwMode="auto">
        <a:xfrm>
          <a:off x="723900" y="4762500"/>
          <a:ext cx="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Downloads/colorines%2020%20de%20febrer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linea5"/>
      <sheetName val="linea4"/>
      <sheetName val="linea3"/>
      <sheetName val="linea2"/>
      <sheetName val="linea1"/>
      <sheetName val="Anexo 1 Informe Gestion"/>
      <sheetName val="Anexo 2 Protocolo Inf Gestión"/>
      <sheetName val="Anexo 3"/>
      <sheetName val="Anexo 5-1 Ingresos"/>
      <sheetName val="Anexo 5-2 Gastos"/>
      <sheetName val="1POMCAS"/>
      <sheetName val="2PORH"/>
      <sheetName val="3PSMV"/>
      <sheetName val="4UsoAguas"/>
      <sheetName val="5PUEAA"/>
      <sheetName val="6POMCASejec"/>
      <sheetName val="7Clima"/>
      <sheetName val="8Suelo"/>
      <sheetName val="9RUNAP"/>
      <sheetName val="10Paramos"/>
      <sheetName val="11Forest"/>
      <sheetName val="12PlanesAP"/>
      <sheetName val="13Amenaz"/>
      <sheetName val="14Invasor"/>
      <sheetName val="15Restaura"/>
      <sheetName val="16MIZC"/>
      <sheetName val="17PGIRS"/>
      <sheetName val="18Sector"/>
      <sheetName val="19GAU"/>
      <sheetName val="20Negoc"/>
      <sheetName val="21TiempoT"/>
      <sheetName val="22Autor"/>
      <sheetName val="23Sanc"/>
      <sheetName val="24POT"/>
      <sheetName val="25Redes"/>
      <sheetName val="26SIAC"/>
      <sheetName val="27Educa"/>
      <sheetName val="Observa"/>
      <sheetName val="Formulas"/>
    </sheetNames>
    <sheetDataSet>
      <sheetData sheetId="0">
        <row r="5">
          <cell r="H5" t="str">
            <v>Corporación Autónoma Regional del Alto Magdalena - CAM</v>
          </cell>
        </row>
        <row r="6">
          <cell r="H6" t="str">
            <v>Corporación Autónoma Regional de Cundinamarca – CAR</v>
          </cell>
        </row>
        <row r="7">
          <cell r="H7" t="str">
            <v>Corporación Autónoma Regional del Canal del Dique – CARDIQUE</v>
          </cell>
        </row>
        <row r="8">
          <cell r="H8" t="str">
            <v>Corporación Autónoma Regional de Sucre – CARSUCRE</v>
          </cell>
        </row>
        <row r="9">
          <cell r="H9" t="str">
            <v>Corporación Autónoma Regional de Santander – CAS</v>
          </cell>
        </row>
        <row r="10">
          <cell r="H10" t="str">
            <v>Corporación para el Desarrollo Sostenible del Norte y el Oriente Amazónico – CDA</v>
          </cell>
        </row>
        <row r="11">
          <cell r="H11" t="str">
            <v>Corporación Autónoma Regional para la Defensa de la Meseta de Bucaramanga – CDMB</v>
          </cell>
        </row>
        <row r="12">
          <cell r="H12" t="str">
            <v>Corporación Autónoma Regional para el Desarrollo Sostenible del Chocó – CODECHOCÓ</v>
          </cell>
        </row>
        <row r="13">
          <cell r="H13" t="str">
            <v>Corporación para el Desarrollo Sostenible del Archipiélago de San Andrés, Providencia y Santa Catalina – CORALINA</v>
          </cell>
        </row>
        <row r="14">
          <cell r="H14" t="str">
            <v>Corporación Autónoma Regional del Centro de Antioquia – CORANTIOQUIA</v>
          </cell>
        </row>
        <row r="15">
          <cell r="H15" t="str">
            <v>Corporación para el Desarrollo Sostenible del Área de Manejo Especial de La Macarena – CORMACARENA</v>
          </cell>
        </row>
        <row r="16">
          <cell r="H16" t="str">
            <v>Corporación Autónoma Regional de las Cuencas de los Ríos Negro y Nare – CORNARE</v>
          </cell>
        </row>
        <row r="17">
          <cell r="H17" t="str">
            <v>Corporación Autónoma Regional del Magdalena – CORPAMAG</v>
          </cell>
        </row>
        <row r="18">
          <cell r="H18" t="str">
            <v>Corporación para el Desarrollo Sostenible del Sur de la Amazonia – CORPOAMAZONIA</v>
          </cell>
        </row>
        <row r="19">
          <cell r="H19" t="str">
            <v>Corporación Autónoma Regional de Boyacá – CORPOBOYACÁ</v>
          </cell>
        </row>
        <row r="20">
          <cell r="H20" t="str">
            <v>Corporación Autónoma Regional de Caldas – CORPOCALDAS</v>
          </cell>
        </row>
        <row r="21">
          <cell r="H21" t="str">
            <v>Corporación Autónoma Regional del Cesar – CORPOCESAR</v>
          </cell>
        </row>
        <row r="22">
          <cell r="H22" t="str">
            <v>Corporación Autónoma Regional de Chivor – CORPOCHIVOR</v>
          </cell>
        </row>
        <row r="23">
          <cell r="H23" t="str">
            <v>Corporación Autónoma Regional de La Guajira – CORPOGUAJIRA</v>
          </cell>
        </row>
        <row r="24">
          <cell r="H24" t="str">
            <v>Corporación Autónoma Regional del Guavio – CORPOGUAVIO</v>
          </cell>
        </row>
        <row r="25">
          <cell r="H25" t="str">
            <v>Corporación para el Desarrollo Sostenible de La Mojana y El San Jorge – CORPOMOJANA</v>
          </cell>
        </row>
        <row r="26">
          <cell r="H26" t="str">
            <v>Corporación Autónoma Regional de Nariño – CORPONARIÑO</v>
          </cell>
        </row>
        <row r="27">
          <cell r="H27" t="str">
            <v>Corporación Autónoma Regional de la Frontera Nororiental – CORPONOR</v>
          </cell>
        </row>
        <row r="28">
          <cell r="H28" t="str">
            <v>Corporación Autónoma Regional de la Orinoquia – CORPORINOQUIA</v>
          </cell>
        </row>
        <row r="29">
          <cell r="H29" t="str">
            <v>Corporación para el Desarrollo Sostenible del Urabá – CORPOURABA</v>
          </cell>
        </row>
        <row r="30">
          <cell r="H30" t="str">
            <v>Corporación Autónoma Regional del Tolima – CORTOLIMA</v>
          </cell>
        </row>
        <row r="31">
          <cell r="H31" t="str">
            <v>Corporación Autónoma Regional del Atlántico – CRA</v>
          </cell>
        </row>
        <row r="32">
          <cell r="H32" t="str">
            <v>Corporación Autónoma Regional del Cauca – CRC</v>
          </cell>
        </row>
        <row r="33">
          <cell r="H33" t="str">
            <v>Corporación Autónoma Regional del Quindío – CRQ</v>
          </cell>
        </row>
        <row r="34">
          <cell r="H34" t="str">
            <v>Corporación Autónoma Regional del Sur de Bolívar – CSB</v>
          </cell>
        </row>
        <row r="35">
          <cell r="H35" t="str">
            <v>Corporación Autónoma Regional del Valle del Cauca – CVC</v>
          </cell>
        </row>
        <row r="36">
          <cell r="H36" t="str">
            <v>Corporación Autónoma Regional de los Valles del Sinú y del San Jorge – CVS</v>
          </cell>
        </row>
        <row r="38">
          <cell r="H38" t="str">
            <v>2016-I</v>
          </cell>
        </row>
        <row r="39">
          <cell r="H39" t="str">
            <v>2016-II</v>
          </cell>
        </row>
        <row r="40">
          <cell r="H40" t="str">
            <v>2017-I</v>
          </cell>
        </row>
        <row r="41">
          <cell r="H41" t="str">
            <v>2017-II</v>
          </cell>
        </row>
        <row r="42">
          <cell r="H42" t="str">
            <v>2018-I</v>
          </cell>
        </row>
        <row r="43">
          <cell r="H43" t="str">
            <v>2018-II</v>
          </cell>
        </row>
        <row r="44">
          <cell r="H44" t="str">
            <v>2019-I</v>
          </cell>
        </row>
        <row r="45">
          <cell r="H45" t="str">
            <v>2019-II</v>
          </cell>
        </row>
      </sheetData>
      <sheetData sheetId="1">
        <row r="8">
          <cell r="F8">
            <v>500</v>
          </cell>
        </row>
        <row r="66">
          <cell r="F66">
            <v>1</v>
          </cell>
          <cell r="I66">
            <v>1</v>
          </cell>
          <cell r="L66">
            <v>1</v>
          </cell>
          <cell r="O66">
            <v>1</v>
          </cell>
        </row>
        <row r="70">
          <cell r="F70">
            <v>0.9</v>
          </cell>
          <cell r="I70">
            <v>0.9</v>
          </cell>
          <cell r="L70">
            <v>0.9</v>
          </cell>
          <cell r="O70">
            <v>0.9</v>
          </cell>
        </row>
        <row r="75">
          <cell r="F75">
            <v>1</v>
          </cell>
          <cell r="I75">
            <v>1</v>
          </cell>
          <cell r="L75">
            <v>1</v>
          </cell>
          <cell r="O75">
            <v>1</v>
          </cell>
        </row>
        <row r="76">
          <cell r="F76">
            <v>1</v>
          </cell>
          <cell r="I76">
            <v>1</v>
          </cell>
          <cell r="L76">
            <v>1</v>
          </cell>
          <cell r="O76">
            <v>1</v>
          </cell>
        </row>
        <row r="77">
          <cell r="F77">
            <v>1</v>
          </cell>
          <cell r="I77">
            <v>1</v>
          </cell>
          <cell r="L77">
            <v>1</v>
          </cell>
          <cell r="O77">
            <v>1</v>
          </cell>
        </row>
        <row r="78">
          <cell r="F78">
            <v>0.9</v>
          </cell>
          <cell r="I78">
            <v>0.9</v>
          </cell>
          <cell r="L78">
            <v>0.9</v>
          </cell>
          <cell r="O78">
            <v>0.9</v>
          </cell>
        </row>
        <row r="79">
          <cell r="F79">
            <v>1</v>
          </cell>
          <cell r="I79">
            <v>1</v>
          </cell>
          <cell r="L79">
            <v>1</v>
          </cell>
          <cell r="O79">
            <v>1</v>
          </cell>
        </row>
      </sheetData>
      <sheetData sheetId="2">
        <row r="8">
          <cell r="F8">
            <v>0</v>
          </cell>
          <cell r="I8">
            <v>26</v>
          </cell>
          <cell r="L8">
            <v>0</v>
          </cell>
          <cell r="O8">
            <v>0</v>
          </cell>
        </row>
        <row r="10">
          <cell r="F10">
            <v>0</v>
          </cell>
          <cell r="I10">
            <v>1</v>
          </cell>
          <cell r="L10">
            <v>1</v>
          </cell>
          <cell r="O10">
            <v>1</v>
          </cell>
        </row>
        <row r="14">
          <cell r="F14">
            <v>0</v>
          </cell>
          <cell r="I14">
            <v>1</v>
          </cell>
          <cell r="L14">
            <v>0</v>
          </cell>
          <cell r="O14">
            <v>0</v>
          </cell>
        </row>
        <row r="19">
          <cell r="F19">
            <v>500</v>
          </cell>
          <cell r="I19">
            <v>2300</v>
          </cell>
          <cell r="L19">
            <v>2200</v>
          </cell>
          <cell r="O19">
            <v>2000</v>
          </cell>
        </row>
        <row r="20">
          <cell r="F20">
            <v>0</v>
          </cell>
          <cell r="I20">
            <v>10</v>
          </cell>
          <cell r="L20">
            <v>10</v>
          </cell>
          <cell r="O20">
            <v>6</v>
          </cell>
        </row>
        <row r="21">
          <cell r="F21">
            <v>0</v>
          </cell>
          <cell r="I21">
            <v>1</v>
          </cell>
          <cell r="L21">
            <v>1</v>
          </cell>
          <cell r="O21">
            <v>1</v>
          </cell>
        </row>
        <row r="27">
          <cell r="F27">
            <v>0.25</v>
          </cell>
          <cell r="I27">
            <v>0.25</v>
          </cell>
          <cell r="L27">
            <v>0.25</v>
          </cell>
          <cell r="O27">
            <v>0.25</v>
          </cell>
        </row>
        <row r="33">
          <cell r="F33">
            <v>2</v>
          </cell>
          <cell r="I33">
            <v>8</v>
          </cell>
          <cell r="L33">
            <v>8</v>
          </cell>
          <cell r="O33">
            <v>7</v>
          </cell>
        </row>
        <row r="35">
          <cell r="F35">
            <v>0.15</v>
          </cell>
          <cell r="I35">
            <v>0.25</v>
          </cell>
          <cell r="L35">
            <v>0.3</v>
          </cell>
          <cell r="O35">
            <v>0.3</v>
          </cell>
        </row>
        <row r="37">
          <cell r="F37">
            <v>0</v>
          </cell>
          <cell r="I37">
            <v>0</v>
          </cell>
          <cell r="L37">
            <v>1</v>
          </cell>
          <cell r="O37">
            <v>1</v>
          </cell>
        </row>
      </sheetData>
      <sheetData sheetId="3">
        <row r="8">
          <cell r="F8">
            <v>0.8</v>
          </cell>
        </row>
      </sheetData>
      <sheetData sheetId="4">
        <row r="8">
          <cell r="F8">
            <v>2</v>
          </cell>
        </row>
      </sheetData>
      <sheetData sheetId="5">
        <row r="8">
          <cell r="F8">
            <v>46476697000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33">
          <cell r="D33" t="str">
            <v>SI APLICA</v>
          </cell>
          <cell r="F33" t="str">
            <v>SI SE REPORTA</v>
          </cell>
        </row>
        <row r="34">
          <cell r="D34" t="str">
            <v>NO APLICA</v>
          </cell>
          <cell r="F34" t="str">
            <v>NO SE REPORTA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jflopez@cornare.gov.co"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workbookViewId="0">
      <selection activeCell="C11" sqref="C11"/>
    </sheetView>
  </sheetViews>
  <sheetFormatPr baseColWidth="10" defaultRowHeight="15" x14ac:dyDescent="0.25"/>
  <cols>
    <col min="1" max="1" width="5.85546875" customWidth="1"/>
    <col min="2" max="2" width="44.28515625" customWidth="1"/>
    <col min="3" max="3" width="76.7109375" customWidth="1"/>
    <col min="8" max="8" width="11.42578125" hidden="1" customWidth="1"/>
  </cols>
  <sheetData>
    <row r="1" spans="1:18" s="1" customFormat="1" ht="130.5" customHeight="1" thickBot="1" x14ac:dyDescent="0.3">
      <c r="A1" s="10"/>
      <c r="B1" s="11"/>
      <c r="C1" s="12"/>
      <c r="D1"/>
      <c r="E1"/>
      <c r="F1"/>
      <c r="G1"/>
      <c r="H1"/>
      <c r="I1"/>
      <c r="J1"/>
      <c r="K1"/>
      <c r="L1"/>
      <c r="M1"/>
      <c r="N1"/>
      <c r="O1"/>
      <c r="P1"/>
      <c r="Q1"/>
      <c r="R1"/>
    </row>
    <row r="2" spans="1:18" s="2" customFormat="1" ht="39.75" customHeight="1" thickBot="1" x14ac:dyDescent="0.3">
      <c r="A2" s="186" t="s">
        <v>51</v>
      </c>
      <c r="B2" s="187"/>
      <c r="C2" s="188"/>
      <c r="D2"/>
      <c r="E2"/>
      <c r="F2"/>
      <c r="G2"/>
      <c r="H2"/>
      <c r="I2"/>
      <c r="J2"/>
      <c r="K2"/>
      <c r="L2"/>
      <c r="M2"/>
      <c r="N2"/>
      <c r="O2"/>
      <c r="P2"/>
      <c r="Q2"/>
      <c r="R2"/>
    </row>
    <row r="4" spans="1:18" ht="15.75" thickBot="1" x14ac:dyDescent="0.3"/>
    <row r="5" spans="1:18" s="3" customFormat="1" ht="23.25" customHeight="1" x14ac:dyDescent="0.25">
      <c r="B5" s="4" t="s">
        <v>8</v>
      </c>
      <c r="C5" s="5" t="s">
        <v>20</v>
      </c>
      <c r="H5" s="3" t="s">
        <v>9</v>
      </c>
    </row>
    <row r="6" spans="1:18" s="3" customFormat="1" ht="23.25" customHeight="1" x14ac:dyDescent="0.25">
      <c r="B6" s="6" t="s">
        <v>49</v>
      </c>
      <c r="C6" s="7" t="s">
        <v>48</v>
      </c>
      <c r="H6" s="3" t="s">
        <v>10</v>
      </c>
    </row>
    <row r="7" spans="1:18" s="3" customFormat="1" ht="23.25" customHeight="1" x14ac:dyDescent="0.25">
      <c r="B7" s="6" t="s">
        <v>50</v>
      </c>
      <c r="C7" s="7" t="s">
        <v>436</v>
      </c>
      <c r="H7" s="3" t="s">
        <v>11</v>
      </c>
    </row>
    <row r="8" spans="1:18" s="3" customFormat="1" ht="23.25" customHeight="1" x14ac:dyDescent="0.25">
      <c r="B8" s="6" t="s">
        <v>0</v>
      </c>
      <c r="C8" s="7" t="s">
        <v>437</v>
      </c>
      <c r="H8" s="3" t="s">
        <v>12</v>
      </c>
    </row>
    <row r="9" spans="1:18" s="3" customFormat="1" ht="23.25" customHeight="1" x14ac:dyDescent="0.25">
      <c r="B9" s="6" t="s">
        <v>1</v>
      </c>
      <c r="C9" s="7" t="s">
        <v>438</v>
      </c>
      <c r="H9" s="3" t="s">
        <v>13</v>
      </c>
    </row>
    <row r="10" spans="1:18" s="3" customFormat="1" ht="23.25" customHeight="1" x14ac:dyDescent="0.25">
      <c r="B10" s="6" t="s">
        <v>2</v>
      </c>
      <c r="C10" s="13" t="s">
        <v>439</v>
      </c>
      <c r="H10" s="3" t="s">
        <v>14</v>
      </c>
    </row>
    <row r="11" spans="1:18" s="3" customFormat="1" ht="23.25" customHeight="1" thickBot="1" x14ac:dyDescent="0.3">
      <c r="B11" s="8" t="s">
        <v>3</v>
      </c>
      <c r="C11" s="9" t="s">
        <v>440</v>
      </c>
      <c r="H11" s="3" t="s">
        <v>15</v>
      </c>
    </row>
    <row r="12" spans="1:18" x14ac:dyDescent="0.25">
      <c r="H12" t="s">
        <v>16</v>
      </c>
    </row>
    <row r="13" spans="1:18" x14ac:dyDescent="0.25">
      <c r="H13" t="s">
        <v>17</v>
      </c>
    </row>
    <row r="14" spans="1:18" x14ac:dyDescent="0.25">
      <c r="H14" t="s">
        <v>18</v>
      </c>
    </row>
    <row r="15" spans="1:18" x14ac:dyDescent="0.25">
      <c r="H15" t="s">
        <v>19</v>
      </c>
    </row>
    <row r="16" spans="1:18" x14ac:dyDescent="0.25">
      <c r="H16" t="s">
        <v>20</v>
      </c>
    </row>
    <row r="17" spans="8:8" x14ac:dyDescent="0.25">
      <c r="H17" t="s">
        <v>21</v>
      </c>
    </row>
    <row r="18" spans="8:8" x14ac:dyDescent="0.25">
      <c r="H18" t="s">
        <v>22</v>
      </c>
    </row>
    <row r="19" spans="8:8" x14ac:dyDescent="0.25">
      <c r="H19" t="s">
        <v>23</v>
      </c>
    </row>
    <row r="20" spans="8:8" x14ac:dyDescent="0.25">
      <c r="H20" t="s">
        <v>24</v>
      </c>
    </row>
    <row r="21" spans="8:8" x14ac:dyDescent="0.25">
      <c r="H21" t="s">
        <v>25</v>
      </c>
    </row>
    <row r="22" spans="8:8" x14ac:dyDescent="0.25">
      <c r="H22" t="s">
        <v>26</v>
      </c>
    </row>
    <row r="23" spans="8:8" x14ac:dyDescent="0.25">
      <c r="H23" t="s">
        <v>27</v>
      </c>
    </row>
    <row r="24" spans="8:8" x14ac:dyDescent="0.25">
      <c r="H24" t="s">
        <v>28</v>
      </c>
    </row>
    <row r="25" spans="8:8" x14ac:dyDescent="0.25">
      <c r="H25" t="s">
        <v>29</v>
      </c>
    </row>
    <row r="26" spans="8:8" x14ac:dyDescent="0.25">
      <c r="H26" t="s">
        <v>30</v>
      </c>
    </row>
    <row r="27" spans="8:8" x14ac:dyDescent="0.25">
      <c r="H27" t="s">
        <v>31</v>
      </c>
    </row>
    <row r="28" spans="8:8" x14ac:dyDescent="0.25">
      <c r="H28" t="s">
        <v>32</v>
      </c>
    </row>
    <row r="29" spans="8:8" x14ac:dyDescent="0.25">
      <c r="H29" t="s">
        <v>33</v>
      </c>
    </row>
    <row r="30" spans="8:8" x14ac:dyDescent="0.25">
      <c r="H30" t="s">
        <v>34</v>
      </c>
    </row>
    <row r="31" spans="8:8" x14ac:dyDescent="0.25">
      <c r="H31" t="s">
        <v>35</v>
      </c>
    </row>
    <row r="32" spans="8:8" x14ac:dyDescent="0.25">
      <c r="H32" t="s">
        <v>36</v>
      </c>
    </row>
    <row r="33" spans="8:8" x14ac:dyDescent="0.25">
      <c r="H33" t="s">
        <v>37</v>
      </c>
    </row>
    <row r="34" spans="8:8" x14ac:dyDescent="0.25">
      <c r="H34" t="s">
        <v>38</v>
      </c>
    </row>
    <row r="35" spans="8:8" x14ac:dyDescent="0.25">
      <c r="H35" t="s">
        <v>39</v>
      </c>
    </row>
    <row r="36" spans="8:8" x14ac:dyDescent="0.25">
      <c r="H36" t="s">
        <v>40</v>
      </c>
    </row>
    <row r="38" spans="8:8" x14ac:dyDescent="0.25">
      <c r="H38" t="s">
        <v>41</v>
      </c>
    </row>
    <row r="39" spans="8:8" x14ac:dyDescent="0.25">
      <c r="H39" t="s">
        <v>42</v>
      </c>
    </row>
    <row r="40" spans="8:8" x14ac:dyDescent="0.25">
      <c r="H40" t="s">
        <v>43</v>
      </c>
    </row>
    <row r="41" spans="8:8" x14ac:dyDescent="0.25">
      <c r="H41" t="s">
        <v>44</v>
      </c>
    </row>
    <row r="42" spans="8:8" x14ac:dyDescent="0.25">
      <c r="H42" t="s">
        <v>45</v>
      </c>
    </row>
    <row r="43" spans="8:8" x14ac:dyDescent="0.25">
      <c r="H43" t="s">
        <v>46</v>
      </c>
    </row>
    <row r="44" spans="8:8" x14ac:dyDescent="0.25">
      <c r="H44" t="s">
        <v>47</v>
      </c>
    </row>
    <row r="45" spans="8:8" x14ac:dyDescent="0.25">
      <c r="H45" t="s">
        <v>48</v>
      </c>
    </row>
  </sheetData>
  <mergeCells count="1">
    <mergeCell ref="A2:C2"/>
  </mergeCells>
  <dataValidations count="2">
    <dataValidation type="list" allowBlank="1" showInputMessage="1" showErrorMessage="1" prompt="Seleccione la CAR de la cual incorporara la información" sqref="C5">
      <formula1>Lista_CAR</formula1>
    </dataValidation>
    <dataValidation type="list" allowBlank="1" showInputMessage="1" showErrorMessage="1" prompt="Seleccione el perido a reportar" sqref="C6">
      <formula1 xml:space="preserve"> Vigencias</formula1>
    </dataValidation>
  </dataValidations>
  <hyperlinks>
    <hyperlink ref="C10" r:id="rId1"/>
  </hyperlinks>
  <pageMargins left="0.7" right="0.7" top="0.75" bottom="0.75" header="0.3" footer="0.3"/>
  <pageSetup paperSize="0" orientation="portrait"/>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zoomScale="200" zoomScaleNormal="200" zoomScalePageLayoutView="200" workbookViewId="0">
      <selection activeCell="B16" sqref="B16"/>
    </sheetView>
  </sheetViews>
  <sheetFormatPr baseColWidth="10" defaultColWidth="10.85546875" defaultRowHeight="23.25" customHeight="1" x14ac:dyDescent="0.25"/>
  <cols>
    <col min="1" max="1" width="47.42578125" style="40" customWidth="1"/>
    <col min="2" max="2" width="88.7109375" style="40" customWidth="1"/>
    <col min="3" max="16384" width="10.85546875" style="40"/>
  </cols>
  <sheetData>
    <row r="1" spans="1:2" ht="23.25" customHeight="1" thickBot="1" x14ac:dyDescent="0.3">
      <c r="A1" s="189"/>
      <c r="B1" s="189"/>
    </row>
    <row r="2" spans="1:2" ht="23.25" customHeight="1" thickBot="1" x14ac:dyDescent="0.3">
      <c r="A2" s="190" t="s">
        <v>529</v>
      </c>
      <c r="B2" s="191"/>
    </row>
    <row r="3" spans="1:2" ht="12.75" customHeight="1" thickBot="1" x14ac:dyDescent="0.3">
      <c r="A3" s="192" t="s">
        <v>530</v>
      </c>
      <c r="B3" s="193"/>
    </row>
    <row r="4" spans="1:2" ht="16.5" customHeight="1" x14ac:dyDescent="0.25">
      <c r="A4" s="41" t="s">
        <v>531</v>
      </c>
      <c r="B4" s="41" t="s">
        <v>532</v>
      </c>
    </row>
    <row r="5" spans="1:2" ht="45" customHeight="1" x14ac:dyDescent="0.25">
      <c r="A5" s="42" t="s">
        <v>533</v>
      </c>
      <c r="B5" s="43" t="s">
        <v>534</v>
      </c>
    </row>
    <row r="6" spans="1:2" ht="45" customHeight="1" x14ac:dyDescent="0.25">
      <c r="A6" s="42" t="s">
        <v>535</v>
      </c>
      <c r="B6" s="43" t="s">
        <v>536</v>
      </c>
    </row>
    <row r="7" spans="1:2" ht="45" customHeight="1" x14ac:dyDescent="0.25">
      <c r="A7" s="42" t="s">
        <v>537</v>
      </c>
      <c r="B7" s="43" t="s">
        <v>538</v>
      </c>
    </row>
    <row r="8" spans="1:2" ht="45" customHeight="1" x14ac:dyDescent="0.25">
      <c r="A8" s="42" t="s">
        <v>539</v>
      </c>
      <c r="B8" s="43" t="s">
        <v>540</v>
      </c>
    </row>
    <row r="9" spans="1:2" ht="45" customHeight="1" x14ac:dyDescent="0.25">
      <c r="A9" s="42" t="s">
        <v>541</v>
      </c>
      <c r="B9" s="43" t="s">
        <v>542</v>
      </c>
    </row>
    <row r="10" spans="1:2" ht="45" customHeight="1" x14ac:dyDescent="0.25">
      <c r="A10" s="42" t="s">
        <v>543</v>
      </c>
      <c r="B10" s="43" t="s">
        <v>544</v>
      </c>
    </row>
    <row r="11" spans="1:2" ht="45" customHeight="1" x14ac:dyDescent="0.25">
      <c r="A11" s="42" t="s">
        <v>545</v>
      </c>
      <c r="B11" s="43" t="s">
        <v>546</v>
      </c>
    </row>
    <row r="12" spans="1:2" ht="45" customHeight="1" x14ac:dyDescent="0.25">
      <c r="A12" s="42" t="s">
        <v>547</v>
      </c>
      <c r="B12" s="43" t="s">
        <v>548</v>
      </c>
    </row>
    <row r="13" spans="1:2" ht="45" customHeight="1" x14ac:dyDescent="0.25">
      <c r="A13" s="42" t="s">
        <v>549</v>
      </c>
      <c r="B13" s="43" t="s">
        <v>550</v>
      </c>
    </row>
    <row r="14" spans="1:2" ht="45" customHeight="1" x14ac:dyDescent="0.25">
      <c r="A14" s="42" t="s">
        <v>551</v>
      </c>
      <c r="B14" s="43" t="s">
        <v>552</v>
      </c>
    </row>
    <row r="15" spans="1:2" ht="45" customHeight="1" x14ac:dyDescent="0.25">
      <c r="A15" s="42" t="s">
        <v>553</v>
      </c>
      <c r="B15" s="43" t="s">
        <v>554</v>
      </c>
    </row>
    <row r="16" spans="1:2" ht="45" customHeight="1" x14ac:dyDescent="0.25">
      <c r="A16" s="42" t="s">
        <v>555</v>
      </c>
      <c r="B16" s="43" t="s">
        <v>556</v>
      </c>
    </row>
    <row r="17" spans="1:2" ht="45" customHeight="1" x14ac:dyDescent="0.25">
      <c r="A17" s="42" t="s">
        <v>557</v>
      </c>
      <c r="B17" s="43" t="s">
        <v>558</v>
      </c>
    </row>
    <row r="18" spans="1:2" ht="45" customHeight="1" x14ac:dyDescent="0.25">
      <c r="A18" s="42" t="s">
        <v>559</v>
      </c>
      <c r="B18" s="43" t="s">
        <v>560</v>
      </c>
    </row>
    <row r="19" spans="1:2" ht="45" customHeight="1" x14ac:dyDescent="0.25">
      <c r="A19" s="42" t="s">
        <v>561</v>
      </c>
      <c r="B19" s="43" t="s">
        <v>562</v>
      </c>
    </row>
    <row r="20" spans="1:2" ht="45" customHeight="1" x14ac:dyDescent="0.25">
      <c r="A20" s="42" t="s">
        <v>563</v>
      </c>
      <c r="B20" s="43" t="s">
        <v>564</v>
      </c>
    </row>
    <row r="21" spans="1:2" ht="45" customHeight="1" x14ac:dyDescent="0.25">
      <c r="A21" s="42" t="s">
        <v>565</v>
      </c>
      <c r="B21" s="43" t="s">
        <v>566</v>
      </c>
    </row>
    <row r="22" spans="1:2" ht="45" customHeight="1" x14ac:dyDescent="0.25">
      <c r="A22" s="42" t="s">
        <v>567</v>
      </c>
      <c r="B22" s="43" t="s">
        <v>568</v>
      </c>
    </row>
    <row r="23" spans="1:2" ht="51.95" customHeight="1" thickBot="1" x14ac:dyDescent="0.3">
      <c r="A23" s="44" t="s">
        <v>569</v>
      </c>
      <c r="B23" s="45" t="s">
        <v>570</v>
      </c>
    </row>
  </sheetData>
  <mergeCells count="3">
    <mergeCell ref="A1:B1"/>
    <mergeCell ref="A2:B2"/>
    <mergeCell ref="A3:B3"/>
  </mergeCells>
  <pageMargins left="0.7" right="0.7" top="0.75" bottom="0.75" header="0.3" footer="0.3"/>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4.9989318521683403E-2"/>
    <pageSetUpPr fitToPage="1"/>
  </sheetPr>
  <dimension ref="A1:AA215"/>
  <sheetViews>
    <sheetView tabSelected="1" topLeftCell="F1" zoomScale="80" zoomScaleNormal="80" zoomScaleSheetLayoutView="75" zoomScalePageLayoutView="150" workbookViewId="0">
      <pane ySplit="5" topLeftCell="A6" activePane="bottomLeft" state="frozenSplit"/>
      <selection activeCell="B4" sqref="B4"/>
      <selection pane="bottomLeft" activeCell="U8" sqref="U8"/>
    </sheetView>
  </sheetViews>
  <sheetFormatPr baseColWidth="10" defaultColWidth="10.85546875" defaultRowHeight="11.25" x14ac:dyDescent="0.25"/>
  <cols>
    <col min="1" max="1" width="17.42578125" style="14" customWidth="1"/>
    <col min="2" max="2" width="18.140625" style="14" customWidth="1"/>
    <col min="3" max="3" width="24.42578125" style="14" customWidth="1"/>
    <col min="4" max="4" width="30.7109375" style="14" customWidth="1"/>
    <col min="5" max="5" width="13.42578125" style="14" customWidth="1"/>
    <col min="6" max="6" width="16.140625" style="14" customWidth="1"/>
    <col min="7" max="7" width="17" style="14" customWidth="1"/>
    <col min="8" max="8" width="16" style="14" customWidth="1"/>
    <col min="9" max="9" width="60.7109375" style="14" customWidth="1"/>
    <col min="10" max="10" width="18.42578125" style="14" bestFit="1" customWidth="1"/>
    <col min="11" max="11" width="15.85546875" style="14" customWidth="1"/>
    <col min="12" max="12" width="16.42578125" style="14" customWidth="1"/>
    <col min="13" max="13" width="19.7109375" style="14" customWidth="1"/>
    <col min="14" max="14" width="18.85546875" style="14" hidden="1" customWidth="1"/>
    <col min="15" max="15" width="17.7109375" style="14" customWidth="1"/>
    <col min="16" max="16" width="21.42578125" style="14" customWidth="1"/>
    <col min="17" max="17" width="17" style="14" customWidth="1"/>
    <col min="18" max="18" width="18.85546875" style="14" customWidth="1"/>
    <col min="19" max="19" width="22" style="14" customWidth="1"/>
    <col min="20" max="20" width="13.28515625" style="14" customWidth="1"/>
    <col min="21" max="21" width="51.42578125" style="14" customWidth="1"/>
    <col min="22" max="22" width="20.28515625" style="14" customWidth="1"/>
    <col min="23" max="23" width="32.42578125" style="14" hidden="1" customWidth="1"/>
    <col min="24" max="24" width="15.7109375" style="14" hidden="1" customWidth="1"/>
    <col min="25" max="25" width="18.42578125" style="14" hidden="1" customWidth="1"/>
    <col min="26" max="26" width="16.42578125" style="14" hidden="1" customWidth="1"/>
    <col min="27" max="27" width="23.7109375" style="14" customWidth="1"/>
    <col min="28" max="16384" width="10.85546875" style="14"/>
  </cols>
  <sheetData>
    <row r="1" spans="1:26" x14ac:dyDescent="0.25">
      <c r="A1" s="57"/>
      <c r="B1" s="57"/>
      <c r="C1" s="57"/>
      <c r="D1" s="57" t="s">
        <v>373</v>
      </c>
      <c r="E1" s="57"/>
      <c r="F1" s="57"/>
      <c r="G1" s="57"/>
      <c r="H1" s="57"/>
      <c r="I1" s="57"/>
      <c r="J1" s="57"/>
      <c r="K1" s="57"/>
      <c r="L1" s="57"/>
      <c r="M1" s="57"/>
      <c r="N1" s="57"/>
      <c r="O1" s="57"/>
      <c r="P1" s="57"/>
      <c r="Q1" s="57"/>
      <c r="R1" s="57"/>
      <c r="S1" s="57"/>
      <c r="T1" s="57"/>
      <c r="U1" s="57"/>
    </row>
    <row r="2" spans="1:26" s="15" customFormat="1" x14ac:dyDescent="0.25">
      <c r="A2" s="221" t="s">
        <v>435</v>
      </c>
      <c r="B2" s="221"/>
      <c r="C2" s="221"/>
      <c r="D2" s="221"/>
      <c r="E2" s="221"/>
      <c r="F2" s="221"/>
      <c r="G2" s="221"/>
      <c r="H2" s="221"/>
      <c r="I2" s="221"/>
      <c r="J2" s="221"/>
      <c r="K2" s="221"/>
      <c r="L2" s="221"/>
      <c r="M2" s="221"/>
      <c r="N2" s="221"/>
      <c r="O2" s="221"/>
      <c r="P2" s="221"/>
      <c r="Q2" s="221"/>
      <c r="R2" s="221"/>
      <c r="S2" s="221"/>
      <c r="T2" s="221"/>
      <c r="U2" s="221"/>
    </row>
    <row r="3" spans="1:26" s="15" customFormat="1" x14ac:dyDescent="0.25">
      <c r="A3" s="221" t="s">
        <v>778</v>
      </c>
      <c r="B3" s="221"/>
      <c r="C3" s="221"/>
      <c r="D3" s="221"/>
      <c r="E3" s="221"/>
      <c r="F3" s="221"/>
      <c r="G3" s="221"/>
      <c r="H3" s="221"/>
      <c r="I3" s="221"/>
      <c r="J3" s="221"/>
      <c r="K3" s="221"/>
      <c r="L3" s="221"/>
      <c r="M3" s="221"/>
      <c r="N3" s="221"/>
      <c r="O3" s="221"/>
      <c r="P3" s="221"/>
      <c r="Q3" s="221"/>
      <c r="R3" s="221"/>
      <c r="S3" s="221"/>
      <c r="T3" s="221"/>
      <c r="U3" s="221"/>
    </row>
    <row r="4" spans="1:26" x14ac:dyDescent="0.25">
      <c r="A4" s="213" t="s">
        <v>434</v>
      </c>
      <c r="B4" s="213" t="s">
        <v>433</v>
      </c>
      <c r="C4" s="213" t="s">
        <v>432</v>
      </c>
      <c r="D4" s="213" t="s">
        <v>431</v>
      </c>
      <c r="E4" s="213"/>
      <c r="F4" s="213"/>
      <c r="G4" s="213"/>
      <c r="H4" s="213"/>
      <c r="I4" s="213"/>
      <c r="J4" s="213"/>
      <c r="K4" s="213"/>
      <c r="L4" s="213"/>
      <c r="M4" s="213"/>
      <c r="N4" s="213"/>
      <c r="O4" s="222" t="s">
        <v>430</v>
      </c>
      <c r="P4" s="222"/>
      <c r="Q4" s="222"/>
      <c r="R4" s="222"/>
      <c r="S4" s="222"/>
      <c r="T4" s="222"/>
      <c r="U4" s="213" t="s">
        <v>429</v>
      </c>
    </row>
    <row r="5" spans="1:26" ht="105" customHeight="1" x14ac:dyDescent="0.25">
      <c r="A5" s="213"/>
      <c r="B5" s="213"/>
      <c r="C5" s="213"/>
      <c r="D5" s="28" t="s">
        <v>428</v>
      </c>
      <c r="E5" s="28" t="s">
        <v>427</v>
      </c>
      <c r="F5" s="28" t="s">
        <v>426</v>
      </c>
      <c r="G5" s="28" t="s">
        <v>425</v>
      </c>
      <c r="H5" s="28" t="s">
        <v>424</v>
      </c>
      <c r="I5" s="28" t="s">
        <v>447</v>
      </c>
      <c r="J5" s="28" t="s">
        <v>448</v>
      </c>
      <c r="K5" s="48" t="s">
        <v>423</v>
      </c>
      <c r="L5" s="48" t="s">
        <v>422</v>
      </c>
      <c r="M5" s="48" t="s">
        <v>421</v>
      </c>
      <c r="N5" s="48" t="s">
        <v>420</v>
      </c>
      <c r="O5" s="29" t="s">
        <v>419</v>
      </c>
      <c r="P5" s="29" t="s">
        <v>797</v>
      </c>
      <c r="Q5" s="29" t="s">
        <v>418</v>
      </c>
      <c r="R5" s="30" t="s">
        <v>589</v>
      </c>
      <c r="S5" s="30" t="s">
        <v>798</v>
      </c>
      <c r="T5" s="30" t="s">
        <v>417</v>
      </c>
      <c r="U5" s="213"/>
    </row>
    <row r="6" spans="1:26" x14ac:dyDescent="0.25">
      <c r="A6" s="228" t="s">
        <v>416</v>
      </c>
      <c r="B6" s="228"/>
      <c r="C6" s="228"/>
      <c r="D6" s="228"/>
      <c r="E6" s="228"/>
      <c r="F6" s="228"/>
      <c r="G6" s="228"/>
      <c r="H6" s="228"/>
      <c r="I6" s="228"/>
      <c r="J6" s="228"/>
      <c r="K6" s="228"/>
      <c r="L6" s="228"/>
      <c r="M6" s="228"/>
      <c r="N6" s="228"/>
      <c r="O6" s="228"/>
      <c r="P6" s="228"/>
      <c r="Q6" s="228"/>
      <c r="R6" s="228"/>
      <c r="S6" s="228"/>
      <c r="T6" s="228"/>
      <c r="U6" s="228"/>
    </row>
    <row r="7" spans="1:26" x14ac:dyDescent="0.25">
      <c r="A7" s="228" t="s">
        <v>415</v>
      </c>
      <c r="B7" s="228"/>
      <c r="C7" s="228"/>
      <c r="D7" s="228"/>
      <c r="E7" s="228"/>
      <c r="F7" s="228"/>
      <c r="G7" s="228"/>
      <c r="H7" s="228"/>
      <c r="I7" s="228"/>
      <c r="J7" s="228"/>
      <c r="K7" s="228"/>
      <c r="L7" s="228"/>
      <c r="M7" s="228"/>
      <c r="N7" s="228"/>
      <c r="O7" s="228"/>
      <c r="P7" s="228"/>
      <c r="Q7" s="228"/>
      <c r="R7" s="228"/>
      <c r="S7" s="228"/>
      <c r="T7" s="228"/>
      <c r="U7" s="228"/>
      <c r="X7" s="14" t="s">
        <v>441</v>
      </c>
      <c r="Y7" s="14" t="s">
        <v>442</v>
      </c>
    </row>
    <row r="8" spans="1:26" ht="87" customHeight="1" x14ac:dyDescent="0.25">
      <c r="A8" s="244" t="s">
        <v>414</v>
      </c>
      <c r="B8" s="226" t="s">
        <v>413</v>
      </c>
      <c r="C8" s="50" t="s">
        <v>412</v>
      </c>
      <c r="D8" s="179" t="s">
        <v>580</v>
      </c>
      <c r="E8" s="179" t="s">
        <v>409</v>
      </c>
      <c r="F8" s="159">
        <v>70000000000</v>
      </c>
      <c r="G8" s="160">
        <v>85145000000</v>
      </c>
      <c r="H8" s="166">
        <f>+G8/F8</f>
        <v>1.2163571428571429</v>
      </c>
      <c r="I8" s="17" t="s">
        <v>774</v>
      </c>
      <c r="J8" s="185">
        <f>H8</f>
        <v>1.2163571428571429</v>
      </c>
      <c r="K8" s="182">
        <v>279011029000</v>
      </c>
      <c r="L8" s="182">
        <f>(60700721296+69474000000+77518955409+G8)</f>
        <v>292838676705</v>
      </c>
      <c r="M8" s="185">
        <f>L8/K8</f>
        <v>1.0495595021980295</v>
      </c>
      <c r="N8" s="183">
        <v>0</v>
      </c>
      <c r="O8" s="245">
        <f>2826679801/4</f>
        <v>706669950.25</v>
      </c>
      <c r="P8" s="248">
        <v>496173638.39999998</v>
      </c>
      <c r="Q8" s="246">
        <f>P8/O8</f>
        <v>0.70212924466997306</v>
      </c>
      <c r="R8" s="245">
        <f>200000000+2626679801</f>
        <v>2826679801</v>
      </c>
      <c r="S8" s="247">
        <v>2453581215.7600002</v>
      </c>
      <c r="T8" s="246">
        <f>S8/R8</f>
        <v>0.8680081892869479</v>
      </c>
      <c r="U8" s="62"/>
      <c r="W8" s="16">
        <f>SUM(X8:X48)</f>
        <v>24546719204</v>
      </c>
      <c r="X8" s="16">
        <f t="shared" ref="X8:X48" si="0">R8</f>
        <v>2826679801</v>
      </c>
      <c r="Y8" s="16">
        <f t="shared" ref="Y8:Y48" si="1">P8</f>
        <v>496173638.39999998</v>
      </c>
      <c r="Z8" s="16">
        <f>SUM(Y8:Y48)</f>
        <v>4134780320</v>
      </c>
    </row>
    <row r="9" spans="1:26" ht="22.5" x14ac:dyDescent="0.25">
      <c r="A9" s="244"/>
      <c r="B9" s="226"/>
      <c r="C9" s="179" t="s">
        <v>411</v>
      </c>
      <c r="D9" s="179" t="s">
        <v>581</v>
      </c>
      <c r="E9" s="179" t="s">
        <v>409</v>
      </c>
      <c r="F9" s="159">
        <v>51268918000</v>
      </c>
      <c r="G9" s="160">
        <v>73008000000</v>
      </c>
      <c r="H9" s="171">
        <f>+G9/F9</f>
        <v>1.4240206902747587</v>
      </c>
      <c r="I9" s="17" t="s">
        <v>775</v>
      </c>
      <c r="J9" s="185">
        <f>H9</f>
        <v>1.4240206902747587</v>
      </c>
      <c r="K9" s="175">
        <v>194568253000</v>
      </c>
      <c r="L9" s="161">
        <f>(57745002356+66595000000+49288306000+G9)</f>
        <v>246636308356</v>
      </c>
      <c r="M9" s="185">
        <f t="shared" ref="M9:M11" si="2">L9/K9</f>
        <v>1.2676081763246341</v>
      </c>
      <c r="N9" s="182">
        <v>0</v>
      </c>
      <c r="O9" s="245"/>
      <c r="P9" s="249"/>
      <c r="Q9" s="246"/>
      <c r="R9" s="245"/>
      <c r="S9" s="247"/>
      <c r="T9" s="246"/>
      <c r="U9" s="62"/>
      <c r="X9" s="16">
        <f t="shared" si="0"/>
        <v>0</v>
      </c>
      <c r="Y9" s="16">
        <f t="shared" si="1"/>
        <v>0</v>
      </c>
    </row>
    <row r="10" spans="1:26" ht="67.5" x14ac:dyDescent="0.25">
      <c r="A10" s="244"/>
      <c r="B10" s="226"/>
      <c r="C10" s="179" t="s">
        <v>410</v>
      </c>
      <c r="D10" s="179" t="s">
        <v>582</v>
      </c>
      <c r="E10" s="179" t="s">
        <v>409</v>
      </c>
      <c r="F10" s="159">
        <v>30000000000</v>
      </c>
      <c r="G10" s="262">
        <v>29719792917.036003</v>
      </c>
      <c r="H10" s="172">
        <v>1</v>
      </c>
      <c r="I10" s="49" t="s">
        <v>779</v>
      </c>
      <c r="J10" s="185">
        <f>H10</f>
        <v>1</v>
      </c>
      <c r="K10" s="175">
        <v>120000000000</v>
      </c>
      <c r="L10" s="182">
        <f>(44148236899+34908913949+34837418133+G10)</f>
        <v>143614361898.03601</v>
      </c>
      <c r="M10" s="185">
        <f t="shared" si="2"/>
        <v>1.1967863491503001</v>
      </c>
      <c r="N10" s="182">
        <v>0</v>
      </c>
      <c r="O10" s="245"/>
      <c r="P10" s="249"/>
      <c r="Q10" s="246"/>
      <c r="R10" s="245"/>
      <c r="S10" s="247"/>
      <c r="T10" s="246"/>
      <c r="U10" s="62"/>
      <c r="X10" s="16">
        <f t="shared" si="0"/>
        <v>0</v>
      </c>
      <c r="Y10" s="16">
        <f t="shared" si="1"/>
        <v>0</v>
      </c>
    </row>
    <row r="11" spans="1:26" ht="90" x14ac:dyDescent="0.25">
      <c r="A11" s="244"/>
      <c r="B11" s="162" t="s">
        <v>408</v>
      </c>
      <c r="C11" s="50" t="s">
        <v>407</v>
      </c>
      <c r="D11" s="179" t="s">
        <v>399</v>
      </c>
      <c r="E11" s="179" t="s">
        <v>53</v>
      </c>
      <c r="F11" s="31">
        <v>0</v>
      </c>
      <c r="G11" s="163" t="s">
        <v>572</v>
      </c>
      <c r="H11" s="172" t="s">
        <v>573</v>
      </c>
      <c r="I11" s="17" t="s">
        <v>776</v>
      </c>
      <c r="J11" s="185" t="str">
        <f>H11</f>
        <v>NA</v>
      </c>
      <c r="K11" s="185">
        <v>1</v>
      </c>
      <c r="L11" s="79">
        <f>(30%+25%+45%)</f>
        <v>1</v>
      </c>
      <c r="M11" s="185">
        <f t="shared" si="2"/>
        <v>1</v>
      </c>
      <c r="N11" s="182">
        <v>0</v>
      </c>
      <c r="O11" s="245"/>
      <c r="P11" s="250"/>
      <c r="Q11" s="246"/>
      <c r="R11" s="245"/>
      <c r="S11" s="247"/>
      <c r="T11" s="246"/>
      <c r="U11" s="62"/>
      <c r="X11" s="16">
        <f t="shared" si="0"/>
        <v>0</v>
      </c>
      <c r="Y11" s="16">
        <f t="shared" si="1"/>
        <v>0</v>
      </c>
    </row>
    <row r="12" spans="1:26" x14ac:dyDescent="0.25">
      <c r="A12" s="228" t="s">
        <v>406</v>
      </c>
      <c r="B12" s="228"/>
      <c r="C12" s="228"/>
      <c r="D12" s="228"/>
      <c r="E12" s="228"/>
      <c r="F12" s="228"/>
      <c r="G12" s="228"/>
      <c r="H12" s="228"/>
      <c r="I12" s="228"/>
      <c r="J12" s="228"/>
      <c r="K12" s="228"/>
      <c r="L12" s="228"/>
      <c r="M12" s="228"/>
      <c r="N12" s="228"/>
      <c r="O12" s="228"/>
      <c r="P12" s="228"/>
      <c r="Q12" s="228"/>
      <c r="R12" s="228"/>
      <c r="S12" s="228"/>
      <c r="T12" s="228"/>
      <c r="U12" s="228"/>
      <c r="X12" s="16">
        <f t="shared" si="0"/>
        <v>0</v>
      </c>
      <c r="Y12" s="16">
        <f t="shared" si="1"/>
        <v>0</v>
      </c>
    </row>
    <row r="13" spans="1:26" ht="22.5" x14ac:dyDescent="0.25">
      <c r="A13" s="223" t="s">
        <v>405</v>
      </c>
      <c r="B13" s="226" t="s">
        <v>404</v>
      </c>
      <c r="C13" s="235" t="s">
        <v>403</v>
      </c>
      <c r="D13" s="179" t="s">
        <v>402</v>
      </c>
      <c r="E13" s="179" t="s">
        <v>373</v>
      </c>
      <c r="F13" s="87">
        <v>1</v>
      </c>
      <c r="G13" s="75">
        <v>1</v>
      </c>
      <c r="H13" s="172">
        <f>G13/F13</f>
        <v>1</v>
      </c>
      <c r="I13" s="49" t="s">
        <v>650</v>
      </c>
      <c r="J13" s="185">
        <f>H13</f>
        <v>1</v>
      </c>
      <c r="K13" s="185">
        <v>1</v>
      </c>
      <c r="L13" s="185">
        <f>(50%+100%+100%+G13)/4</f>
        <v>0.875</v>
      </c>
      <c r="M13" s="185">
        <f t="shared" ref="M13:M25" si="3">L13/K13</f>
        <v>0.875</v>
      </c>
      <c r="N13" s="182">
        <v>0</v>
      </c>
      <c r="O13" s="251">
        <v>2586669950</v>
      </c>
      <c r="P13" s="236">
        <v>1736607734.4000001</v>
      </c>
      <c r="Q13" s="243">
        <f>P13/O13</f>
        <v>0.67136811729691304</v>
      </c>
      <c r="R13" s="195">
        <v>10346679801</v>
      </c>
      <c r="S13" s="229">
        <v>8652575377.6599998</v>
      </c>
      <c r="T13" s="243">
        <f>S13/R13</f>
        <v>0.83626588858231932</v>
      </c>
      <c r="U13" s="61"/>
      <c r="X13" s="16">
        <f t="shared" si="0"/>
        <v>10346679801</v>
      </c>
      <c r="Y13" s="16">
        <f t="shared" si="1"/>
        <v>1736607734.4000001</v>
      </c>
    </row>
    <row r="14" spans="1:26" ht="22.5" x14ac:dyDescent="0.25">
      <c r="A14" s="223"/>
      <c r="B14" s="226"/>
      <c r="C14" s="235"/>
      <c r="D14" s="179" t="s">
        <v>401</v>
      </c>
      <c r="E14" s="179" t="s">
        <v>53</v>
      </c>
      <c r="F14" s="87">
        <v>0</v>
      </c>
      <c r="G14" s="75" t="s">
        <v>571</v>
      </c>
      <c r="H14" s="172" t="s">
        <v>572</v>
      </c>
      <c r="I14" s="17" t="s">
        <v>610</v>
      </c>
      <c r="J14" s="185" t="str">
        <f t="shared" ref="J14:J28" si="4">H14</f>
        <v>NP</v>
      </c>
      <c r="K14" s="185">
        <v>1</v>
      </c>
      <c r="L14" s="185">
        <f>(15%+85%)</f>
        <v>1</v>
      </c>
      <c r="M14" s="185">
        <f t="shared" si="3"/>
        <v>1</v>
      </c>
      <c r="N14" s="182">
        <v>0</v>
      </c>
      <c r="O14" s="252"/>
      <c r="P14" s="237"/>
      <c r="Q14" s="243"/>
      <c r="R14" s="195"/>
      <c r="S14" s="230"/>
      <c r="T14" s="243"/>
      <c r="U14" s="61"/>
      <c r="X14" s="16">
        <f t="shared" si="0"/>
        <v>0</v>
      </c>
      <c r="Y14" s="16">
        <f t="shared" si="1"/>
        <v>0</v>
      </c>
    </row>
    <row r="15" spans="1:26" ht="22.5" x14ac:dyDescent="0.25">
      <c r="A15" s="223"/>
      <c r="B15" s="226"/>
      <c r="C15" s="235"/>
      <c r="D15" s="179" t="s">
        <v>400</v>
      </c>
      <c r="E15" s="179" t="s">
        <v>53</v>
      </c>
      <c r="F15" s="87">
        <v>0</v>
      </c>
      <c r="G15" s="75" t="s">
        <v>571</v>
      </c>
      <c r="H15" s="172" t="s">
        <v>572</v>
      </c>
      <c r="I15" s="17" t="s">
        <v>610</v>
      </c>
      <c r="J15" s="185" t="str">
        <f t="shared" si="4"/>
        <v>NP</v>
      </c>
      <c r="K15" s="185">
        <v>1</v>
      </c>
      <c r="L15" s="185">
        <f>(25%+75%)</f>
        <v>1</v>
      </c>
      <c r="M15" s="185">
        <f t="shared" si="3"/>
        <v>1</v>
      </c>
      <c r="N15" s="182">
        <v>0</v>
      </c>
      <c r="O15" s="252"/>
      <c r="P15" s="237"/>
      <c r="Q15" s="243"/>
      <c r="R15" s="195"/>
      <c r="S15" s="230"/>
      <c r="T15" s="243"/>
      <c r="U15" s="61"/>
      <c r="X15" s="16">
        <f t="shared" si="0"/>
        <v>0</v>
      </c>
      <c r="Y15" s="16">
        <f t="shared" si="1"/>
        <v>0</v>
      </c>
    </row>
    <row r="16" spans="1:26" ht="56.25" x14ac:dyDescent="0.25">
      <c r="A16" s="223"/>
      <c r="B16" s="226"/>
      <c r="C16" s="235"/>
      <c r="D16" s="179" t="s">
        <v>399</v>
      </c>
      <c r="E16" s="179" t="s">
        <v>53</v>
      </c>
      <c r="F16" s="87">
        <v>1</v>
      </c>
      <c r="G16" s="75">
        <v>1</v>
      </c>
      <c r="H16" s="172">
        <f t="shared" ref="H16:H26" si="5">G16/F16</f>
        <v>1</v>
      </c>
      <c r="I16" s="17" t="s">
        <v>651</v>
      </c>
      <c r="J16" s="185">
        <f t="shared" si="4"/>
        <v>1</v>
      </c>
      <c r="K16" s="185">
        <v>1</v>
      </c>
      <c r="L16" s="185">
        <f>(100%+97%+100%+H16)/4</f>
        <v>0.99249999999999994</v>
      </c>
      <c r="M16" s="185">
        <f t="shared" si="3"/>
        <v>0.99249999999999994</v>
      </c>
      <c r="N16" s="182">
        <v>0</v>
      </c>
      <c r="O16" s="252"/>
      <c r="P16" s="237"/>
      <c r="Q16" s="243"/>
      <c r="R16" s="195"/>
      <c r="S16" s="230"/>
      <c r="T16" s="243"/>
      <c r="U16" s="61"/>
      <c r="X16" s="16">
        <f t="shared" si="0"/>
        <v>0</v>
      </c>
      <c r="Y16" s="16">
        <f t="shared" si="1"/>
        <v>0</v>
      </c>
    </row>
    <row r="17" spans="1:25" ht="123.75" x14ac:dyDescent="0.25">
      <c r="A17" s="223"/>
      <c r="B17" s="226"/>
      <c r="C17" s="179" t="s">
        <v>398</v>
      </c>
      <c r="D17" s="179" t="s">
        <v>584</v>
      </c>
      <c r="E17" s="179" t="s">
        <v>53</v>
      </c>
      <c r="F17" s="87">
        <v>1</v>
      </c>
      <c r="G17" s="75">
        <v>1</v>
      </c>
      <c r="H17" s="172">
        <f t="shared" si="5"/>
        <v>1</v>
      </c>
      <c r="I17" s="17" t="s">
        <v>652</v>
      </c>
      <c r="J17" s="185">
        <f t="shared" si="4"/>
        <v>1</v>
      </c>
      <c r="K17" s="185">
        <v>1</v>
      </c>
      <c r="L17" s="185">
        <f>(100%+100%+100%+G17)/4</f>
        <v>1</v>
      </c>
      <c r="M17" s="185">
        <f t="shared" si="3"/>
        <v>1</v>
      </c>
      <c r="N17" s="182">
        <v>0</v>
      </c>
      <c r="O17" s="252"/>
      <c r="P17" s="237"/>
      <c r="Q17" s="243"/>
      <c r="R17" s="195"/>
      <c r="S17" s="230"/>
      <c r="T17" s="243"/>
      <c r="U17" s="61"/>
      <c r="X17" s="16">
        <f t="shared" si="0"/>
        <v>0</v>
      </c>
      <c r="Y17" s="16">
        <f t="shared" si="1"/>
        <v>0</v>
      </c>
    </row>
    <row r="18" spans="1:25" ht="75.75" customHeight="1" x14ac:dyDescent="0.25">
      <c r="A18" s="223"/>
      <c r="B18" s="226"/>
      <c r="C18" s="179" t="s">
        <v>397</v>
      </c>
      <c r="D18" s="179" t="s">
        <v>396</v>
      </c>
      <c r="E18" s="179" t="s">
        <v>53</v>
      </c>
      <c r="F18" s="87">
        <v>1</v>
      </c>
      <c r="G18" s="75">
        <v>1</v>
      </c>
      <c r="H18" s="172">
        <f t="shared" si="5"/>
        <v>1</v>
      </c>
      <c r="I18" s="17" t="s">
        <v>653</v>
      </c>
      <c r="J18" s="185">
        <f t="shared" si="4"/>
        <v>1</v>
      </c>
      <c r="K18" s="185">
        <v>1</v>
      </c>
      <c r="L18" s="185">
        <f>(93%+100%+92%+G18)/4</f>
        <v>0.96250000000000002</v>
      </c>
      <c r="M18" s="185">
        <f t="shared" si="3"/>
        <v>0.96250000000000002</v>
      </c>
      <c r="N18" s="182">
        <v>0</v>
      </c>
      <c r="O18" s="252"/>
      <c r="P18" s="237"/>
      <c r="Q18" s="243"/>
      <c r="R18" s="195"/>
      <c r="S18" s="230"/>
      <c r="T18" s="243"/>
      <c r="U18" s="62"/>
      <c r="X18" s="16">
        <f t="shared" si="0"/>
        <v>0</v>
      </c>
      <c r="Y18" s="16">
        <f t="shared" si="1"/>
        <v>0</v>
      </c>
    </row>
    <row r="19" spans="1:25" ht="78.75" x14ac:dyDescent="0.25">
      <c r="A19" s="223"/>
      <c r="B19" s="174" t="s">
        <v>395</v>
      </c>
      <c r="C19" s="179" t="s">
        <v>394</v>
      </c>
      <c r="D19" s="179" t="s">
        <v>393</v>
      </c>
      <c r="E19" s="179" t="s">
        <v>377</v>
      </c>
      <c r="F19" s="87">
        <v>0.25</v>
      </c>
      <c r="G19" s="76">
        <v>0.22500000000000001</v>
      </c>
      <c r="H19" s="172">
        <f t="shared" si="5"/>
        <v>0.9</v>
      </c>
      <c r="I19" s="17" t="s">
        <v>654</v>
      </c>
      <c r="J19" s="185">
        <f t="shared" si="4"/>
        <v>0.9</v>
      </c>
      <c r="K19" s="185">
        <v>1</v>
      </c>
      <c r="L19" s="185">
        <f>(10%+18%+52%+G19)</f>
        <v>1.0250000000000001</v>
      </c>
      <c r="M19" s="176">
        <f t="shared" si="3"/>
        <v>1.0250000000000001</v>
      </c>
      <c r="N19" s="182">
        <v>0</v>
      </c>
      <c r="O19" s="252"/>
      <c r="P19" s="237"/>
      <c r="Q19" s="243"/>
      <c r="R19" s="195"/>
      <c r="S19" s="230"/>
      <c r="T19" s="243"/>
      <c r="U19" s="62"/>
      <c r="X19" s="16">
        <f t="shared" si="0"/>
        <v>0</v>
      </c>
      <c r="Y19" s="16">
        <f t="shared" si="1"/>
        <v>0</v>
      </c>
    </row>
    <row r="20" spans="1:25" ht="67.5" x14ac:dyDescent="0.25">
      <c r="A20" s="223"/>
      <c r="B20" s="226" t="s">
        <v>392</v>
      </c>
      <c r="C20" s="179" t="s">
        <v>391</v>
      </c>
      <c r="D20" s="179" t="s">
        <v>390</v>
      </c>
      <c r="E20" s="179" t="s">
        <v>63</v>
      </c>
      <c r="F20" s="87">
        <v>1</v>
      </c>
      <c r="G20" s="75">
        <v>1</v>
      </c>
      <c r="H20" s="172">
        <f t="shared" si="5"/>
        <v>1</v>
      </c>
      <c r="I20" s="69" t="s">
        <v>655</v>
      </c>
      <c r="J20" s="185">
        <f t="shared" si="4"/>
        <v>1</v>
      </c>
      <c r="K20" s="185">
        <v>1</v>
      </c>
      <c r="L20" s="185">
        <f>(100%+100%+100%+G20)/4</f>
        <v>1</v>
      </c>
      <c r="M20" s="185">
        <f t="shared" si="3"/>
        <v>1</v>
      </c>
      <c r="N20" s="182">
        <v>0</v>
      </c>
      <c r="O20" s="252"/>
      <c r="P20" s="237"/>
      <c r="Q20" s="243"/>
      <c r="R20" s="195"/>
      <c r="S20" s="230"/>
      <c r="T20" s="243"/>
      <c r="U20" s="61"/>
      <c r="X20" s="16">
        <f t="shared" si="0"/>
        <v>0</v>
      </c>
      <c r="Y20" s="16">
        <f t="shared" si="1"/>
        <v>0</v>
      </c>
    </row>
    <row r="21" spans="1:25" ht="56.25" x14ac:dyDescent="0.25">
      <c r="A21" s="223"/>
      <c r="B21" s="226"/>
      <c r="C21" s="179" t="s">
        <v>389</v>
      </c>
      <c r="D21" s="179" t="s">
        <v>388</v>
      </c>
      <c r="E21" s="179" t="s">
        <v>63</v>
      </c>
      <c r="F21" s="87">
        <v>1</v>
      </c>
      <c r="G21" s="75">
        <v>1</v>
      </c>
      <c r="H21" s="172">
        <f t="shared" si="5"/>
        <v>1</v>
      </c>
      <c r="I21" s="69" t="s">
        <v>656</v>
      </c>
      <c r="J21" s="185">
        <f t="shared" si="4"/>
        <v>1</v>
      </c>
      <c r="K21" s="185">
        <v>1</v>
      </c>
      <c r="L21" s="185">
        <f>(100%+100%+100%+G21)/4</f>
        <v>1</v>
      </c>
      <c r="M21" s="185">
        <f t="shared" si="3"/>
        <v>1</v>
      </c>
      <c r="N21" s="182">
        <v>0</v>
      </c>
      <c r="O21" s="252"/>
      <c r="P21" s="237"/>
      <c r="Q21" s="243"/>
      <c r="R21" s="195"/>
      <c r="S21" s="230"/>
      <c r="T21" s="243"/>
      <c r="U21" s="61"/>
      <c r="X21" s="16">
        <f t="shared" si="0"/>
        <v>0</v>
      </c>
      <c r="Y21" s="16">
        <f t="shared" si="1"/>
        <v>0</v>
      </c>
    </row>
    <row r="22" spans="1:25" ht="135" x14ac:dyDescent="0.25">
      <c r="A22" s="223"/>
      <c r="B22" s="226"/>
      <c r="C22" s="179" t="s">
        <v>387</v>
      </c>
      <c r="D22" s="179" t="s">
        <v>386</v>
      </c>
      <c r="E22" s="179" t="s">
        <v>63</v>
      </c>
      <c r="F22" s="87">
        <v>1</v>
      </c>
      <c r="G22" s="75">
        <v>1</v>
      </c>
      <c r="H22" s="172">
        <f t="shared" si="5"/>
        <v>1</v>
      </c>
      <c r="I22" s="17" t="s">
        <v>657</v>
      </c>
      <c r="J22" s="185">
        <f t="shared" si="4"/>
        <v>1</v>
      </c>
      <c r="K22" s="185">
        <v>1</v>
      </c>
      <c r="L22" s="185">
        <f>(100%+100%+100%+G22)/4</f>
        <v>1</v>
      </c>
      <c r="M22" s="185">
        <f t="shared" si="3"/>
        <v>1</v>
      </c>
      <c r="N22" s="182">
        <v>0</v>
      </c>
      <c r="O22" s="252"/>
      <c r="P22" s="237"/>
      <c r="Q22" s="243"/>
      <c r="R22" s="195"/>
      <c r="S22" s="230"/>
      <c r="T22" s="243"/>
      <c r="U22" s="61"/>
      <c r="X22" s="16">
        <f t="shared" si="0"/>
        <v>0</v>
      </c>
      <c r="Y22" s="16">
        <f t="shared" si="1"/>
        <v>0</v>
      </c>
    </row>
    <row r="23" spans="1:25" ht="78.75" x14ac:dyDescent="0.25">
      <c r="A23" s="223"/>
      <c r="B23" s="226"/>
      <c r="C23" s="179" t="s">
        <v>385</v>
      </c>
      <c r="D23" s="179" t="s">
        <v>384</v>
      </c>
      <c r="E23" s="179" t="s">
        <v>63</v>
      </c>
      <c r="F23" s="87">
        <v>1</v>
      </c>
      <c r="G23" s="75">
        <v>1</v>
      </c>
      <c r="H23" s="172">
        <f t="shared" si="5"/>
        <v>1</v>
      </c>
      <c r="I23" s="17" t="s">
        <v>658</v>
      </c>
      <c r="J23" s="185">
        <f t="shared" si="4"/>
        <v>1</v>
      </c>
      <c r="K23" s="185">
        <v>1</v>
      </c>
      <c r="L23" s="185">
        <f>(100%+100%+100%+G23)/4</f>
        <v>1</v>
      </c>
      <c r="M23" s="185">
        <f t="shared" si="3"/>
        <v>1</v>
      </c>
      <c r="N23" s="182">
        <v>0</v>
      </c>
      <c r="O23" s="252"/>
      <c r="P23" s="237"/>
      <c r="Q23" s="243"/>
      <c r="R23" s="195"/>
      <c r="S23" s="230"/>
      <c r="T23" s="243"/>
      <c r="U23" s="61"/>
      <c r="X23" s="16">
        <f t="shared" si="0"/>
        <v>0</v>
      </c>
      <c r="Y23" s="16">
        <f t="shared" si="1"/>
        <v>0</v>
      </c>
    </row>
    <row r="24" spans="1:25" ht="112.5" x14ac:dyDescent="0.25">
      <c r="A24" s="223"/>
      <c r="B24" s="226" t="s">
        <v>383</v>
      </c>
      <c r="C24" s="179" t="s">
        <v>382</v>
      </c>
      <c r="D24" s="179" t="s">
        <v>381</v>
      </c>
      <c r="E24" s="179" t="s">
        <v>380</v>
      </c>
      <c r="F24" s="87">
        <v>0.2</v>
      </c>
      <c r="G24" s="76">
        <v>0.16500000000000001</v>
      </c>
      <c r="H24" s="172">
        <f t="shared" si="5"/>
        <v>0.82499999999999996</v>
      </c>
      <c r="I24" s="17" t="s">
        <v>659</v>
      </c>
      <c r="J24" s="185">
        <f t="shared" si="4"/>
        <v>0.82499999999999996</v>
      </c>
      <c r="K24" s="185">
        <v>1</v>
      </c>
      <c r="L24" s="185">
        <f>(10%+50%+20%+G24)</f>
        <v>0.96500000000000008</v>
      </c>
      <c r="M24" s="185">
        <f t="shared" si="3"/>
        <v>0.96500000000000008</v>
      </c>
      <c r="N24" s="182">
        <v>0</v>
      </c>
      <c r="O24" s="252"/>
      <c r="P24" s="237"/>
      <c r="Q24" s="243"/>
      <c r="R24" s="195"/>
      <c r="S24" s="230"/>
      <c r="T24" s="243"/>
      <c r="U24" s="61"/>
      <c r="X24" s="16">
        <f t="shared" si="0"/>
        <v>0</v>
      </c>
      <c r="Y24" s="16">
        <f t="shared" si="1"/>
        <v>0</v>
      </c>
    </row>
    <row r="25" spans="1:25" ht="78.75" x14ac:dyDescent="0.25">
      <c r="A25" s="223"/>
      <c r="B25" s="226"/>
      <c r="C25" s="179" t="s">
        <v>379</v>
      </c>
      <c r="D25" s="179" t="s">
        <v>378</v>
      </c>
      <c r="E25" s="179" t="s">
        <v>377</v>
      </c>
      <c r="F25" s="87">
        <v>0.25</v>
      </c>
      <c r="G25" s="76">
        <v>0.215</v>
      </c>
      <c r="H25" s="172">
        <f t="shared" si="5"/>
        <v>0.86</v>
      </c>
      <c r="I25" s="17" t="s">
        <v>660</v>
      </c>
      <c r="J25" s="185">
        <f t="shared" si="4"/>
        <v>0.86</v>
      </c>
      <c r="K25" s="185">
        <v>1</v>
      </c>
      <c r="L25" s="185">
        <f>(10%+30%+25%+G25)</f>
        <v>0.86499999999999999</v>
      </c>
      <c r="M25" s="185">
        <f t="shared" si="3"/>
        <v>0.86499999999999999</v>
      </c>
      <c r="N25" s="182">
        <v>0</v>
      </c>
      <c r="O25" s="252"/>
      <c r="P25" s="237"/>
      <c r="Q25" s="243"/>
      <c r="R25" s="195"/>
      <c r="S25" s="230"/>
      <c r="T25" s="243"/>
      <c r="U25" s="61"/>
      <c r="X25" s="16">
        <f t="shared" si="0"/>
        <v>0</v>
      </c>
      <c r="Y25" s="16">
        <f t="shared" si="1"/>
        <v>0</v>
      </c>
    </row>
    <row r="26" spans="1:25" ht="112.5" x14ac:dyDescent="0.25">
      <c r="A26" s="223"/>
      <c r="B26" s="226" t="s">
        <v>376</v>
      </c>
      <c r="C26" s="179" t="s">
        <v>375</v>
      </c>
      <c r="D26" s="179" t="s">
        <v>374</v>
      </c>
      <c r="E26" s="179" t="s">
        <v>373</v>
      </c>
      <c r="F26" s="87">
        <v>1</v>
      </c>
      <c r="G26" s="77">
        <v>1</v>
      </c>
      <c r="H26" s="172">
        <f t="shared" si="5"/>
        <v>1</v>
      </c>
      <c r="I26" s="17" t="s">
        <v>661</v>
      </c>
      <c r="J26" s="185">
        <f t="shared" si="4"/>
        <v>1</v>
      </c>
      <c r="K26" s="185">
        <v>1</v>
      </c>
      <c r="L26" s="185">
        <f>(100%+100%+97%+G26)/4</f>
        <v>0.99249999999999994</v>
      </c>
      <c r="M26" s="185">
        <f t="shared" ref="M26:M35" si="6">L26/K26</f>
        <v>0.99249999999999994</v>
      </c>
      <c r="N26" s="182">
        <v>0</v>
      </c>
      <c r="O26" s="252"/>
      <c r="P26" s="237"/>
      <c r="Q26" s="243"/>
      <c r="R26" s="195"/>
      <c r="S26" s="230"/>
      <c r="T26" s="243"/>
      <c r="U26" s="61"/>
      <c r="X26" s="16">
        <f t="shared" si="0"/>
        <v>0</v>
      </c>
      <c r="Y26" s="16">
        <f t="shared" si="1"/>
        <v>0</v>
      </c>
    </row>
    <row r="27" spans="1:25" ht="55.5" customHeight="1" x14ac:dyDescent="0.25">
      <c r="A27" s="223"/>
      <c r="B27" s="226"/>
      <c r="C27" s="50" t="s">
        <v>583</v>
      </c>
      <c r="D27" s="179" t="s">
        <v>372</v>
      </c>
      <c r="E27" s="179" t="s">
        <v>449</v>
      </c>
      <c r="F27" s="87">
        <v>0</v>
      </c>
      <c r="G27" s="75" t="s">
        <v>572</v>
      </c>
      <c r="H27" s="172" t="s">
        <v>572</v>
      </c>
      <c r="I27" s="17" t="s">
        <v>662</v>
      </c>
      <c r="J27" s="185" t="str">
        <f t="shared" si="4"/>
        <v>NP</v>
      </c>
      <c r="K27" s="185">
        <v>1</v>
      </c>
      <c r="L27" s="79">
        <f>(0%+100%)</f>
        <v>1</v>
      </c>
      <c r="M27" s="176">
        <f t="shared" si="6"/>
        <v>1</v>
      </c>
      <c r="N27" s="182">
        <v>0</v>
      </c>
      <c r="O27" s="252"/>
      <c r="P27" s="237"/>
      <c r="Q27" s="243"/>
      <c r="R27" s="195"/>
      <c r="S27" s="230"/>
      <c r="T27" s="243"/>
      <c r="U27" s="61"/>
      <c r="X27" s="16">
        <f t="shared" si="0"/>
        <v>0</v>
      </c>
      <c r="Y27" s="16">
        <f t="shared" si="1"/>
        <v>0</v>
      </c>
    </row>
    <row r="28" spans="1:25" ht="52.5" customHeight="1" x14ac:dyDescent="0.25">
      <c r="A28" s="223"/>
      <c r="B28" s="174" t="s">
        <v>371</v>
      </c>
      <c r="C28" s="179" t="s">
        <v>370</v>
      </c>
      <c r="D28" s="179" t="s">
        <v>369</v>
      </c>
      <c r="E28" s="179" t="s">
        <v>53</v>
      </c>
      <c r="F28" s="87">
        <v>1</v>
      </c>
      <c r="G28" s="78">
        <v>1</v>
      </c>
      <c r="H28" s="172">
        <f>G28/F28</f>
        <v>1</v>
      </c>
      <c r="I28" s="74" t="s">
        <v>663</v>
      </c>
      <c r="J28" s="185">
        <f t="shared" si="4"/>
        <v>1</v>
      </c>
      <c r="K28" s="185">
        <v>1</v>
      </c>
      <c r="L28" s="185">
        <f>(100%+100%+100%+G28)/4</f>
        <v>1</v>
      </c>
      <c r="M28" s="185">
        <f t="shared" si="6"/>
        <v>1</v>
      </c>
      <c r="N28" s="182">
        <v>0</v>
      </c>
      <c r="O28" s="253"/>
      <c r="P28" s="238"/>
      <c r="Q28" s="243"/>
      <c r="R28" s="195"/>
      <c r="S28" s="231"/>
      <c r="T28" s="243"/>
      <c r="U28" s="61"/>
      <c r="X28" s="16">
        <f t="shared" si="0"/>
        <v>0</v>
      </c>
      <c r="Y28" s="16">
        <f t="shared" si="1"/>
        <v>0</v>
      </c>
    </row>
    <row r="29" spans="1:25" x14ac:dyDescent="0.25">
      <c r="A29" s="228" t="s">
        <v>368</v>
      </c>
      <c r="B29" s="228"/>
      <c r="C29" s="228"/>
      <c r="D29" s="228"/>
      <c r="E29" s="228"/>
      <c r="F29" s="228"/>
      <c r="G29" s="228"/>
      <c r="H29" s="228"/>
      <c r="I29" s="228"/>
      <c r="J29" s="228"/>
      <c r="K29" s="228"/>
      <c r="L29" s="228"/>
      <c r="M29" s="228"/>
      <c r="N29" s="228"/>
      <c r="O29" s="228"/>
      <c r="P29" s="228"/>
      <c r="Q29" s="228"/>
      <c r="R29" s="228"/>
      <c r="S29" s="228"/>
      <c r="T29" s="228"/>
      <c r="U29" s="228"/>
      <c r="X29" s="16">
        <f t="shared" si="0"/>
        <v>0</v>
      </c>
      <c r="Y29" s="16">
        <f t="shared" si="1"/>
        <v>0</v>
      </c>
    </row>
    <row r="30" spans="1:25" ht="78.75" x14ac:dyDescent="0.25">
      <c r="A30" s="223" t="s">
        <v>367</v>
      </c>
      <c r="B30" s="174" t="s">
        <v>445</v>
      </c>
      <c r="C30" s="179" t="s">
        <v>586</v>
      </c>
      <c r="D30" s="179" t="s">
        <v>587</v>
      </c>
      <c r="E30" s="179" t="s">
        <v>139</v>
      </c>
      <c r="F30" s="31">
        <v>1</v>
      </c>
      <c r="G30" s="77">
        <v>1</v>
      </c>
      <c r="H30" s="172">
        <f>G30/F30</f>
        <v>1</v>
      </c>
      <c r="I30" s="17" t="s">
        <v>664</v>
      </c>
      <c r="J30" s="172">
        <f>G30</f>
        <v>1</v>
      </c>
      <c r="K30" s="172">
        <v>1</v>
      </c>
      <c r="L30" s="172">
        <f>(99.5%+100%+97.66%+G30)/4</f>
        <v>0.9929</v>
      </c>
      <c r="M30" s="185">
        <f t="shared" si="6"/>
        <v>0.9929</v>
      </c>
      <c r="N30" s="182">
        <v>0</v>
      </c>
      <c r="O30" s="195">
        <v>1856669950</v>
      </c>
      <c r="P30" s="194">
        <v>1240434096</v>
      </c>
      <c r="Q30" s="239">
        <f>P30/O30</f>
        <v>0.66809617724464165</v>
      </c>
      <c r="R30" s="195">
        <v>7426679801</v>
      </c>
      <c r="S30" s="194">
        <v>6415016943.8999996</v>
      </c>
      <c r="T30" s="197">
        <f>S30/R30</f>
        <v>0.86377992801523762</v>
      </c>
      <c r="U30" s="61"/>
      <c r="X30" s="16">
        <f t="shared" si="0"/>
        <v>7426679801</v>
      </c>
      <c r="Y30" s="16">
        <f t="shared" si="1"/>
        <v>1240434096</v>
      </c>
    </row>
    <row r="31" spans="1:25" ht="78.75" x14ac:dyDescent="0.25">
      <c r="A31" s="223"/>
      <c r="B31" s="226" t="s">
        <v>366</v>
      </c>
      <c r="C31" s="31" t="s">
        <v>365</v>
      </c>
      <c r="D31" s="179" t="s">
        <v>364</v>
      </c>
      <c r="E31" s="179" t="s">
        <v>139</v>
      </c>
      <c r="F31" s="31">
        <v>1</v>
      </c>
      <c r="G31" s="80">
        <v>1</v>
      </c>
      <c r="H31" s="172">
        <f>G31/F31</f>
        <v>1</v>
      </c>
      <c r="I31" s="17" t="s">
        <v>665</v>
      </c>
      <c r="J31" s="172">
        <f>G31</f>
        <v>1</v>
      </c>
      <c r="K31" s="172">
        <v>1</v>
      </c>
      <c r="L31" s="172">
        <f>(100%+100%+100%+G31)/4</f>
        <v>1</v>
      </c>
      <c r="M31" s="185">
        <f t="shared" si="6"/>
        <v>1</v>
      </c>
      <c r="N31" s="182">
        <v>0</v>
      </c>
      <c r="O31" s="195"/>
      <c r="P31" s="194"/>
      <c r="Q31" s="239"/>
      <c r="R31" s="195"/>
      <c r="S31" s="194"/>
      <c r="T31" s="197"/>
      <c r="U31" s="61"/>
      <c r="X31" s="16">
        <f t="shared" si="0"/>
        <v>0</v>
      </c>
      <c r="Y31" s="16">
        <f t="shared" si="1"/>
        <v>0</v>
      </c>
    </row>
    <row r="32" spans="1:25" ht="84" customHeight="1" x14ac:dyDescent="0.25">
      <c r="A32" s="223"/>
      <c r="B32" s="226"/>
      <c r="C32" s="31" t="s">
        <v>647</v>
      </c>
      <c r="D32" s="179" t="s">
        <v>363</v>
      </c>
      <c r="E32" s="179" t="s">
        <v>139</v>
      </c>
      <c r="F32" s="31">
        <v>1</v>
      </c>
      <c r="G32" s="80">
        <v>1</v>
      </c>
      <c r="H32" s="172">
        <f>G32/F32</f>
        <v>1</v>
      </c>
      <c r="I32" s="17" t="s">
        <v>666</v>
      </c>
      <c r="J32" s="172">
        <f>G32</f>
        <v>1</v>
      </c>
      <c r="K32" s="172">
        <v>1</v>
      </c>
      <c r="L32" s="172">
        <f>(100%+100%+100%+G32)/4</f>
        <v>1</v>
      </c>
      <c r="M32" s="185">
        <f t="shared" si="6"/>
        <v>1</v>
      </c>
      <c r="N32" s="182">
        <v>0</v>
      </c>
      <c r="O32" s="195"/>
      <c r="P32" s="194"/>
      <c r="Q32" s="239"/>
      <c r="R32" s="195"/>
      <c r="S32" s="194"/>
      <c r="T32" s="197"/>
      <c r="U32" s="61"/>
      <c r="X32" s="16">
        <f t="shared" si="0"/>
        <v>0</v>
      </c>
      <c r="Y32" s="16">
        <f t="shared" si="1"/>
        <v>0</v>
      </c>
    </row>
    <row r="33" spans="1:25" ht="67.5" x14ac:dyDescent="0.25">
      <c r="A33" s="223"/>
      <c r="B33" s="226"/>
      <c r="C33" s="31" t="s">
        <v>585</v>
      </c>
      <c r="D33" s="179" t="s">
        <v>362</v>
      </c>
      <c r="E33" s="179" t="s">
        <v>139</v>
      </c>
      <c r="F33" s="31">
        <v>1</v>
      </c>
      <c r="G33" s="80">
        <v>1</v>
      </c>
      <c r="H33" s="172">
        <f>G33/F33</f>
        <v>1</v>
      </c>
      <c r="I33" s="17" t="s">
        <v>667</v>
      </c>
      <c r="J33" s="172">
        <f>G33</f>
        <v>1</v>
      </c>
      <c r="K33" s="172">
        <v>1</v>
      </c>
      <c r="L33" s="172">
        <f>(100%+100%+92%+G33)/4</f>
        <v>0.98</v>
      </c>
      <c r="M33" s="185">
        <f t="shared" si="6"/>
        <v>0.98</v>
      </c>
      <c r="N33" s="182">
        <v>0</v>
      </c>
      <c r="O33" s="195"/>
      <c r="P33" s="194"/>
      <c r="Q33" s="239"/>
      <c r="R33" s="195"/>
      <c r="S33" s="194"/>
      <c r="T33" s="197"/>
      <c r="U33" s="61"/>
      <c r="X33" s="16">
        <f t="shared" si="0"/>
        <v>0</v>
      </c>
      <c r="Y33" s="16">
        <f t="shared" si="1"/>
        <v>0</v>
      </c>
    </row>
    <row r="34" spans="1:25" x14ac:dyDescent="0.25">
      <c r="A34" s="228" t="s">
        <v>361</v>
      </c>
      <c r="B34" s="228"/>
      <c r="C34" s="228"/>
      <c r="D34" s="228"/>
      <c r="E34" s="228"/>
      <c r="F34" s="228"/>
      <c r="G34" s="228"/>
      <c r="H34" s="228"/>
      <c r="I34" s="228"/>
      <c r="J34" s="228"/>
      <c r="K34" s="228"/>
      <c r="L34" s="228"/>
      <c r="M34" s="228"/>
      <c r="N34" s="228"/>
      <c r="O34" s="228"/>
      <c r="P34" s="228"/>
      <c r="Q34" s="228"/>
      <c r="R34" s="228"/>
      <c r="S34" s="228"/>
      <c r="T34" s="228"/>
      <c r="U34" s="228"/>
      <c r="X34" s="16">
        <f t="shared" si="0"/>
        <v>0</v>
      </c>
      <c r="Y34" s="16">
        <f t="shared" si="1"/>
        <v>0</v>
      </c>
    </row>
    <row r="35" spans="1:25" ht="67.5" x14ac:dyDescent="0.25">
      <c r="A35" s="223" t="s">
        <v>360</v>
      </c>
      <c r="B35" s="226" t="s">
        <v>359</v>
      </c>
      <c r="C35" s="179" t="s">
        <v>456</v>
      </c>
      <c r="D35" s="179" t="s">
        <v>457</v>
      </c>
      <c r="E35" s="179" t="s">
        <v>7</v>
      </c>
      <c r="F35" s="88">
        <v>1</v>
      </c>
      <c r="G35" s="77">
        <v>1</v>
      </c>
      <c r="H35" s="172">
        <f t="shared" ref="H35:H48" si="7">G35/F35</f>
        <v>1</v>
      </c>
      <c r="I35" s="17" t="s">
        <v>611</v>
      </c>
      <c r="J35" s="172">
        <f t="shared" ref="J35:J48" si="8">H35</f>
        <v>1</v>
      </c>
      <c r="K35" s="172">
        <v>1</v>
      </c>
      <c r="L35" s="172">
        <f>(100%+100%+100%+G35)/4</f>
        <v>1</v>
      </c>
      <c r="M35" s="185">
        <f t="shared" si="6"/>
        <v>1</v>
      </c>
      <c r="N35" s="182">
        <v>0</v>
      </c>
      <c r="O35" s="241">
        <v>986669950</v>
      </c>
      <c r="P35" s="194">
        <v>661564851.20000005</v>
      </c>
      <c r="Q35" s="197">
        <f>P35/O35</f>
        <v>0.67050268552315806</v>
      </c>
      <c r="R35" s="241">
        <v>3946679801</v>
      </c>
      <c r="S35" s="194">
        <v>3224108286.6799998</v>
      </c>
      <c r="T35" s="197">
        <f>S35/R35</f>
        <v>0.81691661073266786</v>
      </c>
      <c r="U35" s="61"/>
      <c r="X35" s="16">
        <f t="shared" si="0"/>
        <v>3946679801</v>
      </c>
      <c r="Y35" s="16">
        <f t="shared" si="1"/>
        <v>661564851.20000005</v>
      </c>
    </row>
    <row r="36" spans="1:25" ht="70.5" customHeight="1" x14ac:dyDescent="0.25">
      <c r="A36" s="223"/>
      <c r="B36" s="226"/>
      <c r="C36" s="50" t="s">
        <v>603</v>
      </c>
      <c r="D36" s="179" t="s">
        <v>358</v>
      </c>
      <c r="E36" s="179" t="s">
        <v>357</v>
      </c>
      <c r="F36" s="89">
        <v>50</v>
      </c>
      <c r="G36" s="81">
        <v>33</v>
      </c>
      <c r="H36" s="172">
        <f t="shared" si="7"/>
        <v>0.66</v>
      </c>
      <c r="I36" s="17" t="s">
        <v>612</v>
      </c>
      <c r="J36" s="27">
        <f t="shared" si="8"/>
        <v>0.66</v>
      </c>
      <c r="K36" s="82">
        <v>178</v>
      </c>
      <c r="L36" s="82">
        <f>(5+36+87+G36)</f>
        <v>161</v>
      </c>
      <c r="M36" s="172">
        <f>L36/K36</f>
        <v>0.9044943820224719</v>
      </c>
      <c r="N36" s="182">
        <v>0</v>
      </c>
      <c r="O36" s="241"/>
      <c r="P36" s="194"/>
      <c r="Q36" s="197"/>
      <c r="R36" s="241"/>
      <c r="S36" s="194"/>
      <c r="T36" s="197"/>
      <c r="U36" s="61"/>
      <c r="X36" s="16">
        <f t="shared" si="0"/>
        <v>0</v>
      </c>
      <c r="Y36" s="16">
        <f t="shared" si="1"/>
        <v>0</v>
      </c>
    </row>
    <row r="37" spans="1:25" ht="78.75" x14ac:dyDescent="0.25">
      <c r="A37" s="223"/>
      <c r="B37" s="226"/>
      <c r="C37" s="50" t="s">
        <v>528</v>
      </c>
      <c r="D37" s="179" t="s">
        <v>356</v>
      </c>
      <c r="E37" s="179" t="s">
        <v>355</v>
      </c>
      <c r="F37" s="89">
        <v>1</v>
      </c>
      <c r="G37" s="81">
        <v>0.48</v>
      </c>
      <c r="H37" s="172">
        <f t="shared" si="7"/>
        <v>0.48</v>
      </c>
      <c r="I37" s="17" t="s">
        <v>613</v>
      </c>
      <c r="J37" s="27">
        <f t="shared" si="8"/>
        <v>0.48</v>
      </c>
      <c r="K37" s="82">
        <v>4</v>
      </c>
      <c r="L37" s="82">
        <f>1+1+1+1+G37</f>
        <v>4.4800000000000004</v>
      </c>
      <c r="M37" s="172">
        <v>1</v>
      </c>
      <c r="N37" s="182">
        <v>0</v>
      </c>
      <c r="O37" s="241"/>
      <c r="P37" s="194"/>
      <c r="Q37" s="197"/>
      <c r="R37" s="241"/>
      <c r="S37" s="194"/>
      <c r="T37" s="197"/>
      <c r="U37" s="61"/>
      <c r="X37" s="16">
        <f t="shared" si="0"/>
        <v>0</v>
      </c>
      <c r="Y37" s="16">
        <f t="shared" si="1"/>
        <v>0</v>
      </c>
    </row>
    <row r="38" spans="1:25" ht="56.25" x14ac:dyDescent="0.25">
      <c r="A38" s="223"/>
      <c r="B38" s="226" t="s">
        <v>354</v>
      </c>
      <c r="C38" s="50" t="s">
        <v>353</v>
      </c>
      <c r="D38" s="179" t="s">
        <v>352</v>
      </c>
      <c r="E38" s="179" t="s">
        <v>351</v>
      </c>
      <c r="F38" s="89">
        <v>1</v>
      </c>
      <c r="G38" s="81">
        <v>1</v>
      </c>
      <c r="H38" s="172">
        <f t="shared" si="7"/>
        <v>1</v>
      </c>
      <c r="I38" s="17" t="s">
        <v>614</v>
      </c>
      <c r="J38" s="27">
        <f t="shared" si="8"/>
        <v>1</v>
      </c>
      <c r="K38" s="83">
        <v>5</v>
      </c>
      <c r="L38" s="82">
        <f>2+1+3+G38</f>
        <v>7</v>
      </c>
      <c r="M38" s="172">
        <v>1</v>
      </c>
      <c r="N38" s="182">
        <v>0</v>
      </c>
      <c r="O38" s="241"/>
      <c r="P38" s="194"/>
      <c r="Q38" s="197"/>
      <c r="R38" s="241"/>
      <c r="S38" s="194"/>
      <c r="T38" s="197"/>
      <c r="U38" s="61"/>
      <c r="X38" s="16">
        <f t="shared" si="0"/>
        <v>0</v>
      </c>
      <c r="Y38" s="16">
        <f t="shared" si="1"/>
        <v>0</v>
      </c>
    </row>
    <row r="39" spans="1:25" ht="33.75" x14ac:dyDescent="0.25">
      <c r="A39" s="223"/>
      <c r="B39" s="226"/>
      <c r="C39" s="50" t="s">
        <v>604</v>
      </c>
      <c r="D39" s="179" t="s">
        <v>350</v>
      </c>
      <c r="E39" s="179" t="s">
        <v>349</v>
      </c>
      <c r="F39" s="89">
        <v>3</v>
      </c>
      <c r="G39" s="81">
        <v>1</v>
      </c>
      <c r="H39" s="172">
        <f t="shared" si="7"/>
        <v>0.33333333333333331</v>
      </c>
      <c r="I39" s="17" t="s">
        <v>615</v>
      </c>
      <c r="J39" s="27">
        <f t="shared" si="8"/>
        <v>0.33333333333333331</v>
      </c>
      <c r="K39" s="83">
        <v>10</v>
      </c>
      <c r="L39" s="83">
        <f>1+3+3+1</f>
        <v>8</v>
      </c>
      <c r="M39" s="36">
        <f t="shared" ref="M39:M48" si="9">L39/K39</f>
        <v>0.8</v>
      </c>
      <c r="N39" s="183">
        <v>0</v>
      </c>
      <c r="O39" s="241"/>
      <c r="P39" s="194"/>
      <c r="Q39" s="197"/>
      <c r="R39" s="241"/>
      <c r="S39" s="194"/>
      <c r="T39" s="197"/>
      <c r="U39" s="61"/>
      <c r="X39" s="16">
        <f t="shared" si="0"/>
        <v>0</v>
      </c>
      <c r="Y39" s="16">
        <f t="shared" si="1"/>
        <v>0</v>
      </c>
    </row>
    <row r="40" spans="1:25" ht="56.25" x14ac:dyDescent="0.25">
      <c r="A40" s="223"/>
      <c r="B40" s="226"/>
      <c r="C40" s="50" t="s">
        <v>348</v>
      </c>
      <c r="D40" s="179" t="s">
        <v>347</v>
      </c>
      <c r="E40" s="179" t="s">
        <v>346</v>
      </c>
      <c r="F40" s="88">
        <v>0.25</v>
      </c>
      <c r="G40" s="77">
        <v>0.25</v>
      </c>
      <c r="H40" s="172">
        <f t="shared" si="7"/>
        <v>1</v>
      </c>
      <c r="I40" s="17" t="s">
        <v>616</v>
      </c>
      <c r="J40" s="172">
        <f t="shared" si="8"/>
        <v>1</v>
      </c>
      <c r="K40" s="36">
        <v>1</v>
      </c>
      <c r="L40" s="36">
        <f>25%+25%+25%+G40</f>
        <v>1</v>
      </c>
      <c r="M40" s="36">
        <f t="shared" si="9"/>
        <v>1</v>
      </c>
      <c r="N40" s="183">
        <v>0</v>
      </c>
      <c r="O40" s="241"/>
      <c r="P40" s="194"/>
      <c r="Q40" s="197"/>
      <c r="R40" s="241"/>
      <c r="S40" s="194"/>
      <c r="T40" s="197"/>
      <c r="U40" s="61"/>
      <c r="X40" s="16">
        <f t="shared" si="0"/>
        <v>0</v>
      </c>
      <c r="Y40" s="16">
        <f t="shared" si="1"/>
        <v>0</v>
      </c>
    </row>
    <row r="41" spans="1:25" ht="45" x14ac:dyDescent="0.25">
      <c r="A41" s="223"/>
      <c r="B41" s="226"/>
      <c r="C41" s="179" t="s">
        <v>458</v>
      </c>
      <c r="D41" s="179" t="s">
        <v>459</v>
      </c>
      <c r="E41" s="179" t="s">
        <v>7</v>
      </c>
      <c r="F41" s="88">
        <v>1</v>
      </c>
      <c r="G41" s="77">
        <v>1</v>
      </c>
      <c r="H41" s="172">
        <f t="shared" si="7"/>
        <v>1</v>
      </c>
      <c r="I41" s="17" t="s">
        <v>617</v>
      </c>
      <c r="J41" s="172">
        <f t="shared" si="8"/>
        <v>1</v>
      </c>
      <c r="K41" s="36">
        <v>1</v>
      </c>
      <c r="L41" s="171">
        <f>(100%+100%+100%+G41)/4</f>
        <v>1</v>
      </c>
      <c r="M41" s="172">
        <f t="shared" si="9"/>
        <v>1</v>
      </c>
      <c r="N41" s="183">
        <v>0</v>
      </c>
      <c r="O41" s="241"/>
      <c r="P41" s="194"/>
      <c r="Q41" s="197"/>
      <c r="R41" s="241"/>
      <c r="S41" s="194"/>
      <c r="T41" s="197"/>
      <c r="U41" s="61"/>
      <c r="X41" s="16">
        <f t="shared" si="0"/>
        <v>0</v>
      </c>
      <c r="Y41" s="16">
        <f t="shared" si="1"/>
        <v>0</v>
      </c>
    </row>
    <row r="42" spans="1:25" ht="67.5" x14ac:dyDescent="0.25">
      <c r="A42" s="223"/>
      <c r="B42" s="226" t="s">
        <v>345</v>
      </c>
      <c r="C42" s="179" t="s">
        <v>344</v>
      </c>
      <c r="D42" s="179" t="s">
        <v>343</v>
      </c>
      <c r="E42" s="179" t="s">
        <v>342</v>
      </c>
      <c r="F42" s="88">
        <v>0.9</v>
      </c>
      <c r="G42" s="77">
        <v>0.9</v>
      </c>
      <c r="H42" s="172">
        <f t="shared" si="7"/>
        <v>1</v>
      </c>
      <c r="I42" s="17" t="s">
        <v>618</v>
      </c>
      <c r="J42" s="172">
        <f t="shared" si="8"/>
        <v>1</v>
      </c>
      <c r="K42" s="36">
        <v>0.9</v>
      </c>
      <c r="L42" s="172">
        <f>(90%+90%+90%+G42)/4</f>
        <v>0.9</v>
      </c>
      <c r="M42" s="172">
        <f t="shared" si="9"/>
        <v>1</v>
      </c>
      <c r="N42" s="183">
        <v>0</v>
      </c>
      <c r="O42" s="241"/>
      <c r="P42" s="194"/>
      <c r="Q42" s="197"/>
      <c r="R42" s="241"/>
      <c r="S42" s="194"/>
      <c r="T42" s="197"/>
      <c r="U42" s="61"/>
      <c r="X42" s="16">
        <f t="shared" si="0"/>
        <v>0</v>
      </c>
      <c r="Y42" s="16">
        <f t="shared" si="1"/>
        <v>0</v>
      </c>
    </row>
    <row r="43" spans="1:25" ht="33.75" x14ac:dyDescent="0.25">
      <c r="A43" s="223"/>
      <c r="B43" s="226"/>
      <c r="C43" s="179" t="s">
        <v>341</v>
      </c>
      <c r="D43" s="179" t="s">
        <v>340</v>
      </c>
      <c r="E43" s="179" t="s">
        <v>339</v>
      </c>
      <c r="F43" s="89">
        <v>6</v>
      </c>
      <c r="G43" s="81">
        <v>6</v>
      </c>
      <c r="H43" s="172">
        <f t="shared" si="7"/>
        <v>1</v>
      </c>
      <c r="I43" s="17" t="s">
        <v>619</v>
      </c>
      <c r="J43" s="27">
        <f t="shared" si="8"/>
        <v>1</v>
      </c>
      <c r="K43" s="83">
        <v>24</v>
      </c>
      <c r="L43" s="82">
        <f>(6+6+6+G43)</f>
        <v>24</v>
      </c>
      <c r="M43" s="172">
        <f t="shared" si="9"/>
        <v>1</v>
      </c>
      <c r="N43" s="183">
        <v>0</v>
      </c>
      <c r="O43" s="241"/>
      <c r="P43" s="194"/>
      <c r="Q43" s="197"/>
      <c r="R43" s="241"/>
      <c r="S43" s="194"/>
      <c r="T43" s="197"/>
      <c r="U43" s="61"/>
      <c r="X43" s="16">
        <f t="shared" si="0"/>
        <v>0</v>
      </c>
      <c r="Y43" s="16">
        <f t="shared" si="1"/>
        <v>0</v>
      </c>
    </row>
    <row r="44" spans="1:25" ht="56.25" x14ac:dyDescent="0.25">
      <c r="A44" s="223"/>
      <c r="B44" s="226"/>
      <c r="C44" s="179" t="s">
        <v>338</v>
      </c>
      <c r="D44" s="179" t="s">
        <v>337</v>
      </c>
      <c r="E44" s="179" t="s">
        <v>336</v>
      </c>
      <c r="F44" s="89">
        <v>1</v>
      </c>
      <c r="G44" s="81">
        <v>1</v>
      </c>
      <c r="H44" s="172">
        <f t="shared" si="7"/>
        <v>1</v>
      </c>
      <c r="I44" s="17" t="s">
        <v>620</v>
      </c>
      <c r="J44" s="27">
        <f t="shared" si="8"/>
        <v>1</v>
      </c>
      <c r="K44" s="83">
        <v>4</v>
      </c>
      <c r="L44" s="82">
        <f>(1+1+1+G44)</f>
        <v>4</v>
      </c>
      <c r="M44" s="172">
        <f t="shared" si="9"/>
        <v>1</v>
      </c>
      <c r="N44" s="183">
        <v>0</v>
      </c>
      <c r="O44" s="241"/>
      <c r="P44" s="194"/>
      <c r="Q44" s="197"/>
      <c r="R44" s="241"/>
      <c r="S44" s="194"/>
      <c r="T44" s="197"/>
      <c r="U44" s="61"/>
      <c r="X44" s="16">
        <f t="shared" si="0"/>
        <v>0</v>
      </c>
      <c r="Y44" s="16">
        <f t="shared" si="1"/>
        <v>0</v>
      </c>
    </row>
    <row r="45" spans="1:25" ht="45" x14ac:dyDescent="0.25">
      <c r="A45" s="223"/>
      <c r="B45" s="226"/>
      <c r="C45" s="179" t="s">
        <v>460</v>
      </c>
      <c r="D45" s="179" t="s">
        <v>461</v>
      </c>
      <c r="E45" s="179" t="s">
        <v>462</v>
      </c>
      <c r="F45" s="89">
        <v>1</v>
      </c>
      <c r="G45" s="81">
        <v>1</v>
      </c>
      <c r="H45" s="172">
        <f t="shared" si="7"/>
        <v>1</v>
      </c>
      <c r="I45" s="17" t="s">
        <v>621</v>
      </c>
      <c r="J45" s="27">
        <f t="shared" si="8"/>
        <v>1</v>
      </c>
      <c r="K45" s="83">
        <v>4</v>
      </c>
      <c r="L45" s="82">
        <f>(1+1+1+G45)</f>
        <v>4</v>
      </c>
      <c r="M45" s="172">
        <f t="shared" si="9"/>
        <v>1</v>
      </c>
      <c r="N45" s="183">
        <v>0</v>
      </c>
      <c r="O45" s="241"/>
      <c r="P45" s="194"/>
      <c r="Q45" s="197"/>
      <c r="R45" s="241"/>
      <c r="S45" s="194"/>
      <c r="T45" s="197"/>
      <c r="U45" s="61"/>
      <c r="X45" s="16">
        <f t="shared" si="0"/>
        <v>0</v>
      </c>
      <c r="Y45" s="16">
        <f t="shared" si="1"/>
        <v>0</v>
      </c>
    </row>
    <row r="46" spans="1:25" ht="45" x14ac:dyDescent="0.25">
      <c r="A46" s="223"/>
      <c r="B46" s="226" t="s">
        <v>335</v>
      </c>
      <c r="C46" s="50" t="s">
        <v>334</v>
      </c>
      <c r="D46" s="179" t="s">
        <v>333</v>
      </c>
      <c r="E46" s="179" t="s">
        <v>332</v>
      </c>
      <c r="F46" s="88">
        <v>1</v>
      </c>
      <c r="G46" s="77">
        <v>1</v>
      </c>
      <c r="H46" s="172">
        <f t="shared" si="7"/>
        <v>1</v>
      </c>
      <c r="I46" s="17" t="s">
        <v>622</v>
      </c>
      <c r="J46" s="172">
        <f t="shared" si="8"/>
        <v>1</v>
      </c>
      <c r="K46" s="36">
        <v>1</v>
      </c>
      <c r="L46" s="172">
        <f>(100%+100%+100%+G46)/4</f>
        <v>1</v>
      </c>
      <c r="M46" s="172">
        <f t="shared" si="9"/>
        <v>1</v>
      </c>
      <c r="N46" s="183">
        <v>0</v>
      </c>
      <c r="O46" s="241"/>
      <c r="P46" s="194"/>
      <c r="Q46" s="197"/>
      <c r="R46" s="241"/>
      <c r="S46" s="194"/>
      <c r="T46" s="197"/>
      <c r="U46" s="61"/>
      <c r="X46" s="16">
        <f t="shared" si="0"/>
        <v>0</v>
      </c>
      <c r="Y46" s="16">
        <f t="shared" si="1"/>
        <v>0</v>
      </c>
    </row>
    <row r="47" spans="1:25" ht="84" customHeight="1" x14ac:dyDescent="0.25">
      <c r="A47" s="223"/>
      <c r="B47" s="226"/>
      <c r="C47" s="179" t="s">
        <v>331</v>
      </c>
      <c r="D47" s="179" t="s">
        <v>330</v>
      </c>
      <c r="E47" s="179" t="s">
        <v>450</v>
      </c>
      <c r="F47" s="88">
        <v>1</v>
      </c>
      <c r="G47" s="77">
        <v>0.5</v>
      </c>
      <c r="H47" s="172">
        <f t="shared" si="7"/>
        <v>0.5</v>
      </c>
      <c r="I47" s="17" t="s">
        <v>623</v>
      </c>
      <c r="J47" s="172">
        <f t="shared" si="8"/>
        <v>0.5</v>
      </c>
      <c r="K47" s="172">
        <v>1</v>
      </c>
      <c r="L47" s="172">
        <f>(100%+100%+100%+G47)/4</f>
        <v>0.875</v>
      </c>
      <c r="M47" s="172">
        <f t="shared" si="9"/>
        <v>0.875</v>
      </c>
      <c r="N47" s="183">
        <v>0</v>
      </c>
      <c r="O47" s="241"/>
      <c r="P47" s="194"/>
      <c r="Q47" s="197"/>
      <c r="R47" s="241"/>
      <c r="S47" s="194"/>
      <c r="T47" s="197"/>
      <c r="U47" s="61"/>
      <c r="X47" s="16">
        <f t="shared" si="0"/>
        <v>0</v>
      </c>
      <c r="Y47" s="16">
        <f t="shared" si="1"/>
        <v>0</v>
      </c>
    </row>
    <row r="48" spans="1:25" ht="45" x14ac:dyDescent="0.25">
      <c r="A48" s="223"/>
      <c r="B48" s="226"/>
      <c r="C48" s="179" t="s">
        <v>463</v>
      </c>
      <c r="D48" s="179" t="s">
        <v>329</v>
      </c>
      <c r="E48" s="179" t="s">
        <v>328</v>
      </c>
      <c r="F48" s="88">
        <v>1</v>
      </c>
      <c r="G48" s="77">
        <v>1</v>
      </c>
      <c r="H48" s="172">
        <f t="shared" si="7"/>
        <v>1</v>
      </c>
      <c r="I48" s="17" t="s">
        <v>624</v>
      </c>
      <c r="J48" s="172">
        <f t="shared" si="8"/>
        <v>1</v>
      </c>
      <c r="K48" s="172">
        <v>1</v>
      </c>
      <c r="L48" s="172">
        <f>(100%+100%+100%+G48)/4</f>
        <v>1</v>
      </c>
      <c r="M48" s="172">
        <f t="shared" si="9"/>
        <v>1</v>
      </c>
      <c r="N48" s="183">
        <v>0</v>
      </c>
      <c r="O48" s="241"/>
      <c r="P48" s="194"/>
      <c r="Q48" s="197"/>
      <c r="R48" s="241"/>
      <c r="S48" s="194"/>
      <c r="T48" s="197"/>
      <c r="U48" s="61"/>
      <c r="X48" s="16">
        <f t="shared" si="0"/>
        <v>0</v>
      </c>
      <c r="Y48" s="16">
        <f t="shared" si="1"/>
        <v>0</v>
      </c>
    </row>
    <row r="49" spans="1:26" x14ac:dyDescent="0.25">
      <c r="A49" s="227" t="s">
        <v>327</v>
      </c>
      <c r="B49" s="227"/>
      <c r="C49" s="227"/>
      <c r="D49" s="227"/>
      <c r="E49" s="227"/>
      <c r="F49" s="227"/>
      <c r="G49" s="227"/>
      <c r="H49" s="227"/>
      <c r="I49" s="227"/>
      <c r="J49" s="227"/>
      <c r="K49" s="227"/>
      <c r="L49" s="227"/>
      <c r="M49" s="227"/>
      <c r="N49" s="227"/>
      <c r="O49" s="227"/>
      <c r="P49" s="227"/>
      <c r="Q49" s="227"/>
      <c r="R49" s="227"/>
      <c r="S49" s="227"/>
      <c r="T49" s="227"/>
      <c r="U49" s="227"/>
    </row>
    <row r="50" spans="1:26" x14ac:dyDescent="0.25">
      <c r="A50" s="227" t="s">
        <v>588</v>
      </c>
      <c r="B50" s="227"/>
      <c r="C50" s="227"/>
      <c r="D50" s="227"/>
      <c r="E50" s="227"/>
      <c r="F50" s="227"/>
      <c r="G50" s="227"/>
      <c r="H50" s="227"/>
      <c r="I50" s="227"/>
      <c r="J50" s="227"/>
      <c r="K50" s="227"/>
      <c r="L50" s="227"/>
      <c r="M50" s="227"/>
      <c r="N50" s="227"/>
      <c r="O50" s="227"/>
      <c r="P50" s="227"/>
      <c r="Q50" s="227"/>
      <c r="R50" s="227"/>
      <c r="S50" s="227"/>
      <c r="T50" s="227"/>
      <c r="U50" s="227"/>
      <c r="X50" s="14" t="s">
        <v>443</v>
      </c>
      <c r="Y50" s="14" t="s">
        <v>442</v>
      </c>
    </row>
    <row r="51" spans="1:26" ht="90" customHeight="1" x14ac:dyDescent="0.25">
      <c r="A51" s="224" t="s">
        <v>326</v>
      </c>
      <c r="B51" s="225" t="s">
        <v>325</v>
      </c>
      <c r="C51" s="60" t="s">
        <v>605</v>
      </c>
      <c r="D51" s="51" t="s">
        <v>606</v>
      </c>
      <c r="E51" s="181" t="s">
        <v>324</v>
      </c>
      <c r="F51" s="90" t="s">
        <v>572</v>
      </c>
      <c r="G51" s="84" t="s">
        <v>572</v>
      </c>
      <c r="H51" s="172" t="s">
        <v>572</v>
      </c>
      <c r="I51" s="52" t="s">
        <v>668</v>
      </c>
      <c r="J51" s="185" t="str">
        <f t="shared" ref="J51:J57" si="10">H51</f>
        <v>NP</v>
      </c>
      <c r="K51" s="185">
        <v>1</v>
      </c>
      <c r="L51" s="36">
        <v>1</v>
      </c>
      <c r="M51" s="172">
        <f>L51/K51</f>
        <v>1</v>
      </c>
      <c r="N51" s="183">
        <v>0</v>
      </c>
      <c r="O51" s="195">
        <v>1381658125</v>
      </c>
      <c r="P51" s="194">
        <v>1240737790</v>
      </c>
      <c r="Q51" s="197">
        <f>P51/O51</f>
        <v>0.89800636463524575</v>
      </c>
      <c r="R51" s="195">
        <v>5526632501</v>
      </c>
      <c r="S51" s="194">
        <v>5328289521.5</v>
      </c>
      <c r="T51" s="197">
        <f>S51/R51</f>
        <v>0.96411142237807357</v>
      </c>
      <c r="U51" s="182"/>
      <c r="W51" s="18">
        <f>SUM(X51:X76)</f>
        <v>22136530004</v>
      </c>
      <c r="X51" s="18">
        <f t="shared" ref="X51:X76" si="11">R51</f>
        <v>5526632501</v>
      </c>
      <c r="Y51" s="18">
        <f t="shared" ref="Y51:Y76" si="12">P51</f>
        <v>1240737790</v>
      </c>
      <c r="Z51" s="18">
        <f>SUM(Y51:Y76)</f>
        <v>4962951160</v>
      </c>
    </row>
    <row r="52" spans="1:26" ht="45" x14ac:dyDescent="0.25">
      <c r="A52" s="224"/>
      <c r="B52" s="225"/>
      <c r="C52" s="51" t="s">
        <v>607</v>
      </c>
      <c r="D52" s="181" t="s">
        <v>323</v>
      </c>
      <c r="E52" s="181" t="s">
        <v>451</v>
      </c>
      <c r="F52" s="91">
        <v>218</v>
      </c>
      <c r="G52" s="85">
        <v>207</v>
      </c>
      <c r="H52" s="172">
        <f>G52/F52</f>
        <v>0.94954128440366969</v>
      </c>
      <c r="I52" s="52" t="s">
        <v>669</v>
      </c>
      <c r="J52" s="185">
        <f t="shared" si="10"/>
        <v>0.94954128440366969</v>
      </c>
      <c r="K52" s="110">
        <v>445</v>
      </c>
      <c r="L52" s="111">
        <f>(16+181+30+G52)</f>
        <v>434</v>
      </c>
      <c r="M52" s="36">
        <f t="shared" ref="M52:M55" si="13">L52/K52</f>
        <v>0.97528089887640446</v>
      </c>
      <c r="N52" s="182">
        <v>0</v>
      </c>
      <c r="O52" s="195"/>
      <c r="P52" s="194"/>
      <c r="Q52" s="197"/>
      <c r="R52" s="195"/>
      <c r="S52" s="194"/>
      <c r="T52" s="197"/>
      <c r="U52" s="182"/>
      <c r="X52" s="18">
        <f t="shared" si="11"/>
        <v>0</v>
      </c>
      <c r="Y52" s="18">
        <f t="shared" si="12"/>
        <v>0</v>
      </c>
    </row>
    <row r="53" spans="1:26" ht="45" x14ac:dyDescent="0.25">
      <c r="A53" s="224"/>
      <c r="B53" s="225"/>
      <c r="C53" s="181" t="s">
        <v>464</v>
      </c>
      <c r="D53" s="181" t="s">
        <v>322</v>
      </c>
      <c r="E53" s="181" t="s">
        <v>465</v>
      </c>
      <c r="F53" s="91">
        <v>22</v>
      </c>
      <c r="G53" s="85">
        <v>44</v>
      </c>
      <c r="H53" s="172">
        <v>1</v>
      </c>
      <c r="I53" s="52" t="s">
        <v>670</v>
      </c>
      <c r="J53" s="185">
        <f t="shared" si="10"/>
        <v>1</v>
      </c>
      <c r="K53" s="110">
        <v>100</v>
      </c>
      <c r="L53" s="112">
        <f>(6+50+23+G53)</f>
        <v>123</v>
      </c>
      <c r="M53" s="172">
        <v>1</v>
      </c>
      <c r="N53" s="182">
        <v>0</v>
      </c>
      <c r="O53" s="195"/>
      <c r="P53" s="194"/>
      <c r="Q53" s="197"/>
      <c r="R53" s="195"/>
      <c r="S53" s="194"/>
      <c r="T53" s="197"/>
      <c r="U53" s="62"/>
      <c r="X53" s="18">
        <f t="shared" si="11"/>
        <v>0</v>
      </c>
      <c r="Y53" s="18">
        <f t="shared" si="12"/>
        <v>0</v>
      </c>
    </row>
    <row r="54" spans="1:26" ht="45" x14ac:dyDescent="0.25">
      <c r="A54" s="224"/>
      <c r="B54" s="225"/>
      <c r="C54" s="181" t="s">
        <v>321</v>
      </c>
      <c r="D54" s="181" t="s">
        <v>320</v>
      </c>
      <c r="E54" s="181" t="s">
        <v>609</v>
      </c>
      <c r="F54" s="91" t="s">
        <v>572</v>
      </c>
      <c r="G54" s="84" t="s">
        <v>572</v>
      </c>
      <c r="H54" s="172" t="s">
        <v>573</v>
      </c>
      <c r="I54" s="52" t="s">
        <v>625</v>
      </c>
      <c r="J54" s="185" t="str">
        <f t="shared" si="10"/>
        <v>NA</v>
      </c>
      <c r="K54" s="113">
        <v>10</v>
      </c>
      <c r="L54" s="112">
        <v>10</v>
      </c>
      <c r="M54" s="172">
        <f t="shared" si="13"/>
        <v>1</v>
      </c>
      <c r="N54" s="182">
        <v>0</v>
      </c>
      <c r="O54" s="195"/>
      <c r="P54" s="194"/>
      <c r="Q54" s="197"/>
      <c r="R54" s="195"/>
      <c r="S54" s="194"/>
      <c r="T54" s="197"/>
      <c r="U54" s="182"/>
      <c r="X54" s="18">
        <f t="shared" si="11"/>
        <v>0</v>
      </c>
      <c r="Y54" s="18">
        <f t="shared" si="12"/>
        <v>0</v>
      </c>
    </row>
    <row r="55" spans="1:26" ht="45" x14ac:dyDescent="0.25">
      <c r="A55" s="224"/>
      <c r="B55" s="225" t="s">
        <v>319</v>
      </c>
      <c r="C55" s="181" t="s">
        <v>318</v>
      </c>
      <c r="D55" s="181" t="s">
        <v>317</v>
      </c>
      <c r="E55" s="181" t="s">
        <v>468</v>
      </c>
      <c r="F55" s="92">
        <v>1</v>
      </c>
      <c r="G55" s="86">
        <v>1.5</v>
      </c>
      <c r="H55" s="172">
        <v>1</v>
      </c>
      <c r="I55" s="52" t="s">
        <v>626</v>
      </c>
      <c r="J55" s="185">
        <f t="shared" si="10"/>
        <v>1</v>
      </c>
      <c r="K55" s="113">
        <v>3</v>
      </c>
      <c r="L55" s="114">
        <f>1+0.5+G55</f>
        <v>3</v>
      </c>
      <c r="M55" s="172">
        <f t="shared" si="13"/>
        <v>1</v>
      </c>
      <c r="N55" s="182">
        <v>0</v>
      </c>
      <c r="O55" s="195"/>
      <c r="P55" s="194"/>
      <c r="Q55" s="197"/>
      <c r="R55" s="195"/>
      <c r="S55" s="194"/>
      <c r="T55" s="197"/>
      <c r="U55" s="73"/>
      <c r="X55" s="18">
        <f t="shared" si="11"/>
        <v>0</v>
      </c>
      <c r="Y55" s="18">
        <f t="shared" si="12"/>
        <v>0</v>
      </c>
    </row>
    <row r="56" spans="1:26" ht="105" customHeight="1" x14ac:dyDescent="0.25">
      <c r="A56" s="224"/>
      <c r="B56" s="225"/>
      <c r="C56" s="51" t="s">
        <v>780</v>
      </c>
      <c r="D56" s="181" t="s">
        <v>316</v>
      </c>
      <c r="E56" s="181" t="s">
        <v>315</v>
      </c>
      <c r="F56" s="91">
        <v>4</v>
      </c>
      <c r="G56" s="85">
        <v>7</v>
      </c>
      <c r="H56" s="172">
        <f>G56/F56</f>
        <v>1.75</v>
      </c>
      <c r="I56" s="52" t="s">
        <v>671</v>
      </c>
      <c r="J56" s="185">
        <f t="shared" si="10"/>
        <v>1.75</v>
      </c>
      <c r="K56" s="113">
        <v>30</v>
      </c>
      <c r="L56" s="112">
        <f>(1+12+10+G56)</f>
        <v>30</v>
      </c>
      <c r="M56" s="172">
        <v>1</v>
      </c>
      <c r="N56" s="182">
        <v>0</v>
      </c>
      <c r="O56" s="195"/>
      <c r="P56" s="194"/>
      <c r="Q56" s="197"/>
      <c r="R56" s="195"/>
      <c r="S56" s="194"/>
      <c r="T56" s="197"/>
      <c r="U56" s="182"/>
      <c r="X56" s="18">
        <f t="shared" si="11"/>
        <v>0</v>
      </c>
      <c r="Y56" s="18">
        <f t="shared" si="12"/>
        <v>0</v>
      </c>
    </row>
    <row r="57" spans="1:26" ht="78.75" x14ac:dyDescent="0.25">
      <c r="A57" s="224"/>
      <c r="B57" s="180" t="s">
        <v>314</v>
      </c>
      <c r="C57" s="51" t="s">
        <v>466</v>
      </c>
      <c r="D57" s="181" t="s">
        <v>467</v>
      </c>
      <c r="E57" s="32" t="s">
        <v>313</v>
      </c>
      <c r="F57" s="91">
        <v>10</v>
      </c>
      <c r="G57" s="85">
        <v>11</v>
      </c>
      <c r="H57" s="172">
        <v>1</v>
      </c>
      <c r="I57" s="52" t="s">
        <v>672</v>
      </c>
      <c r="J57" s="185">
        <f t="shared" si="10"/>
        <v>1</v>
      </c>
      <c r="K57" s="110">
        <v>124</v>
      </c>
      <c r="L57" s="111">
        <f>52+63+28+G57</f>
        <v>154</v>
      </c>
      <c r="M57" s="172">
        <v>1</v>
      </c>
      <c r="N57" s="182">
        <v>0</v>
      </c>
      <c r="O57" s="195"/>
      <c r="P57" s="194"/>
      <c r="Q57" s="197"/>
      <c r="R57" s="195"/>
      <c r="S57" s="194"/>
      <c r="T57" s="197"/>
      <c r="U57" s="62"/>
      <c r="X57" s="18">
        <f t="shared" si="11"/>
        <v>0</v>
      </c>
      <c r="Y57" s="18">
        <f t="shared" si="12"/>
        <v>0</v>
      </c>
    </row>
    <row r="58" spans="1:26" x14ac:dyDescent="0.25">
      <c r="A58" s="227" t="s">
        <v>312</v>
      </c>
      <c r="B58" s="227"/>
      <c r="C58" s="227"/>
      <c r="D58" s="227"/>
      <c r="E58" s="227"/>
      <c r="F58" s="227"/>
      <c r="G58" s="227"/>
      <c r="H58" s="227"/>
      <c r="I58" s="227"/>
      <c r="J58" s="227"/>
      <c r="K58" s="227"/>
      <c r="L58" s="227"/>
      <c r="M58" s="227"/>
      <c r="N58" s="227"/>
      <c r="O58" s="227"/>
      <c r="P58" s="227"/>
      <c r="Q58" s="227"/>
      <c r="R58" s="227"/>
      <c r="S58" s="227"/>
      <c r="T58" s="227"/>
      <c r="U58" s="227"/>
      <c r="X58" s="18">
        <f t="shared" si="11"/>
        <v>0</v>
      </c>
      <c r="Y58" s="18">
        <f t="shared" si="12"/>
        <v>0</v>
      </c>
    </row>
    <row r="59" spans="1:26" ht="78.75" x14ac:dyDescent="0.25">
      <c r="A59" s="224" t="s">
        <v>311</v>
      </c>
      <c r="B59" s="180" t="s">
        <v>310</v>
      </c>
      <c r="C59" s="51" t="s">
        <v>455</v>
      </c>
      <c r="D59" s="181" t="s">
        <v>309</v>
      </c>
      <c r="E59" s="181" t="s">
        <v>291</v>
      </c>
      <c r="F59" s="93">
        <v>1</v>
      </c>
      <c r="G59" s="115" t="s">
        <v>573</v>
      </c>
      <c r="H59" s="172" t="s">
        <v>573</v>
      </c>
      <c r="I59" s="52" t="s">
        <v>673</v>
      </c>
      <c r="J59" s="27" t="str">
        <f t="shared" ref="J59:J67" si="14">H59</f>
        <v>NA</v>
      </c>
      <c r="K59" s="182">
        <v>3</v>
      </c>
      <c r="L59" s="112">
        <v>3</v>
      </c>
      <c r="M59" s="172">
        <f t="shared" ref="M59:M70" si="15">L59/K59</f>
        <v>1</v>
      </c>
      <c r="N59" s="182">
        <v>0</v>
      </c>
      <c r="O59" s="241">
        <v>2494158125</v>
      </c>
      <c r="P59" s="194">
        <v>2233328022</v>
      </c>
      <c r="Q59" s="197">
        <f>P59/O59</f>
        <v>0.89542358987363724</v>
      </c>
      <c r="R59" s="241">
        <v>9976632501</v>
      </c>
      <c r="S59" s="194">
        <v>9249921138.5</v>
      </c>
      <c r="T59" s="197">
        <f>S59/R59</f>
        <v>0.92715865173672996</v>
      </c>
      <c r="U59" s="182"/>
      <c r="X59" s="18">
        <f t="shared" si="11"/>
        <v>9976632501</v>
      </c>
      <c r="Y59" s="18">
        <f t="shared" si="12"/>
        <v>2233328022</v>
      </c>
    </row>
    <row r="60" spans="1:26" ht="90" x14ac:dyDescent="0.25">
      <c r="A60" s="224"/>
      <c r="B60" s="225" t="s">
        <v>308</v>
      </c>
      <c r="C60" s="51" t="s">
        <v>307</v>
      </c>
      <c r="D60" s="181" t="s">
        <v>306</v>
      </c>
      <c r="E60" s="181" t="s">
        <v>305</v>
      </c>
      <c r="F60" s="93">
        <v>2</v>
      </c>
      <c r="G60" s="115" t="s">
        <v>573</v>
      </c>
      <c r="H60" s="172" t="s">
        <v>573</v>
      </c>
      <c r="I60" s="52" t="s">
        <v>674</v>
      </c>
      <c r="J60" s="27" t="str">
        <f t="shared" si="14"/>
        <v>NA</v>
      </c>
      <c r="K60" s="175">
        <v>26</v>
      </c>
      <c r="L60" s="111">
        <f>(8+18)</f>
        <v>26</v>
      </c>
      <c r="M60" s="36">
        <f t="shared" si="15"/>
        <v>1</v>
      </c>
      <c r="N60" s="182">
        <v>0</v>
      </c>
      <c r="O60" s="241"/>
      <c r="P60" s="194"/>
      <c r="Q60" s="197"/>
      <c r="R60" s="241"/>
      <c r="S60" s="194"/>
      <c r="T60" s="197"/>
      <c r="U60" s="55"/>
      <c r="X60" s="18">
        <f t="shared" si="11"/>
        <v>0</v>
      </c>
      <c r="Y60" s="18">
        <f t="shared" si="12"/>
        <v>0</v>
      </c>
    </row>
    <row r="61" spans="1:26" ht="33.75" x14ac:dyDescent="0.25">
      <c r="A61" s="224"/>
      <c r="B61" s="225"/>
      <c r="C61" s="181" t="s">
        <v>304</v>
      </c>
      <c r="D61" s="181" t="s">
        <v>302</v>
      </c>
      <c r="E61" s="181" t="s">
        <v>293</v>
      </c>
      <c r="F61" s="93">
        <v>1</v>
      </c>
      <c r="G61" s="115">
        <v>1</v>
      </c>
      <c r="H61" s="172">
        <f t="shared" ref="H61:H66" si="16">G61/F61</f>
        <v>1</v>
      </c>
      <c r="I61" s="52" t="s">
        <v>675</v>
      </c>
      <c r="J61" s="27">
        <f t="shared" si="14"/>
        <v>1</v>
      </c>
      <c r="K61" s="175">
        <v>4</v>
      </c>
      <c r="L61" s="112">
        <f>(1+1+1+G61)</f>
        <v>4</v>
      </c>
      <c r="M61" s="172">
        <f t="shared" si="15"/>
        <v>1</v>
      </c>
      <c r="N61" s="182">
        <v>0</v>
      </c>
      <c r="O61" s="241"/>
      <c r="P61" s="194"/>
      <c r="Q61" s="197"/>
      <c r="R61" s="241"/>
      <c r="S61" s="194"/>
      <c r="T61" s="197"/>
      <c r="U61" s="55"/>
      <c r="X61" s="18">
        <f t="shared" si="11"/>
        <v>0</v>
      </c>
      <c r="Y61" s="18">
        <f t="shared" si="12"/>
        <v>0</v>
      </c>
    </row>
    <row r="62" spans="1:26" ht="56.25" x14ac:dyDescent="0.25">
      <c r="A62" s="224"/>
      <c r="B62" s="225" t="s">
        <v>303</v>
      </c>
      <c r="C62" s="51" t="s">
        <v>781</v>
      </c>
      <c r="D62" s="181" t="s">
        <v>302</v>
      </c>
      <c r="E62" s="181" t="s">
        <v>293</v>
      </c>
      <c r="F62" s="93">
        <v>2</v>
      </c>
      <c r="G62" s="115">
        <v>3</v>
      </c>
      <c r="H62" s="172">
        <f t="shared" si="16"/>
        <v>1.5</v>
      </c>
      <c r="I62" s="52" t="s">
        <v>676</v>
      </c>
      <c r="J62" s="27">
        <f t="shared" si="14"/>
        <v>1.5</v>
      </c>
      <c r="K62" s="175">
        <v>14</v>
      </c>
      <c r="L62" s="112">
        <f>(3+5+3+G62)</f>
        <v>14</v>
      </c>
      <c r="M62" s="172">
        <f t="shared" si="15"/>
        <v>1</v>
      </c>
      <c r="N62" s="182">
        <v>0</v>
      </c>
      <c r="O62" s="241"/>
      <c r="P62" s="194"/>
      <c r="Q62" s="197"/>
      <c r="R62" s="241"/>
      <c r="S62" s="194"/>
      <c r="T62" s="197"/>
      <c r="U62" s="55"/>
      <c r="X62" s="18">
        <f t="shared" si="11"/>
        <v>0</v>
      </c>
      <c r="Y62" s="18">
        <f t="shared" si="12"/>
        <v>0</v>
      </c>
    </row>
    <row r="63" spans="1:26" ht="33.75" x14ac:dyDescent="0.25">
      <c r="A63" s="224"/>
      <c r="B63" s="225"/>
      <c r="C63" s="51" t="s">
        <v>782</v>
      </c>
      <c r="D63" s="181" t="s">
        <v>301</v>
      </c>
      <c r="E63" s="181" t="s">
        <v>299</v>
      </c>
      <c r="F63" s="93">
        <v>10</v>
      </c>
      <c r="G63" s="115">
        <v>10</v>
      </c>
      <c r="H63" s="172">
        <f t="shared" si="16"/>
        <v>1</v>
      </c>
      <c r="I63" s="52" t="s">
        <v>645</v>
      </c>
      <c r="J63" s="27">
        <f t="shared" si="14"/>
        <v>1</v>
      </c>
      <c r="K63" s="175">
        <v>129</v>
      </c>
      <c r="L63" s="112">
        <f>(42+71+6+G63)</f>
        <v>129</v>
      </c>
      <c r="M63" s="172">
        <f t="shared" si="15"/>
        <v>1</v>
      </c>
      <c r="N63" s="182">
        <v>0</v>
      </c>
      <c r="O63" s="241"/>
      <c r="P63" s="194"/>
      <c r="Q63" s="197"/>
      <c r="R63" s="241"/>
      <c r="S63" s="194"/>
      <c r="T63" s="197"/>
      <c r="U63" s="182"/>
      <c r="X63" s="18">
        <f t="shared" si="11"/>
        <v>0</v>
      </c>
      <c r="Y63" s="18">
        <f t="shared" si="12"/>
        <v>0</v>
      </c>
    </row>
    <row r="64" spans="1:26" ht="45" x14ac:dyDescent="0.25">
      <c r="A64" s="224"/>
      <c r="B64" s="225"/>
      <c r="C64" s="181" t="s">
        <v>469</v>
      </c>
      <c r="D64" s="181" t="s">
        <v>300</v>
      </c>
      <c r="E64" s="181" t="s">
        <v>299</v>
      </c>
      <c r="F64" s="93">
        <v>5</v>
      </c>
      <c r="G64" s="115">
        <v>0</v>
      </c>
      <c r="H64" s="172">
        <f t="shared" si="16"/>
        <v>0</v>
      </c>
      <c r="I64" s="52" t="s">
        <v>677</v>
      </c>
      <c r="J64" s="27">
        <f t="shared" si="14"/>
        <v>0</v>
      </c>
      <c r="K64" s="175">
        <v>32</v>
      </c>
      <c r="L64" s="112">
        <f>(9+14+5+G64)</f>
        <v>28</v>
      </c>
      <c r="M64" s="172">
        <f t="shared" si="15"/>
        <v>0.875</v>
      </c>
      <c r="N64" s="182">
        <v>0</v>
      </c>
      <c r="O64" s="241"/>
      <c r="P64" s="194"/>
      <c r="Q64" s="197"/>
      <c r="R64" s="241"/>
      <c r="S64" s="194"/>
      <c r="T64" s="197"/>
      <c r="U64" s="182"/>
      <c r="X64" s="18">
        <f t="shared" si="11"/>
        <v>0</v>
      </c>
      <c r="Y64" s="18">
        <f t="shared" si="12"/>
        <v>0</v>
      </c>
    </row>
    <row r="65" spans="1:26" ht="78.75" x14ac:dyDescent="0.25">
      <c r="A65" s="224"/>
      <c r="B65" s="180" t="s">
        <v>298</v>
      </c>
      <c r="C65" s="181" t="s">
        <v>297</v>
      </c>
      <c r="D65" s="181" t="s">
        <v>470</v>
      </c>
      <c r="E65" s="181" t="s">
        <v>53</v>
      </c>
      <c r="F65" s="94">
        <v>1</v>
      </c>
      <c r="G65" s="84">
        <v>1</v>
      </c>
      <c r="H65" s="172">
        <f t="shared" si="16"/>
        <v>1</v>
      </c>
      <c r="I65" s="52" t="s">
        <v>678</v>
      </c>
      <c r="J65" s="27">
        <f t="shared" si="14"/>
        <v>1</v>
      </c>
      <c r="K65" s="79">
        <v>1</v>
      </c>
      <c r="L65" s="171">
        <f>(100%+100%+100%+G65)/4</f>
        <v>1</v>
      </c>
      <c r="M65" s="172">
        <f t="shared" si="15"/>
        <v>1</v>
      </c>
      <c r="N65" s="182">
        <v>0</v>
      </c>
      <c r="O65" s="241"/>
      <c r="P65" s="194"/>
      <c r="Q65" s="197"/>
      <c r="R65" s="241"/>
      <c r="S65" s="194"/>
      <c r="T65" s="197"/>
      <c r="U65" s="182"/>
      <c r="X65" s="18">
        <f t="shared" si="11"/>
        <v>0</v>
      </c>
      <c r="Y65" s="18">
        <f t="shared" si="12"/>
        <v>0</v>
      </c>
    </row>
    <row r="66" spans="1:26" ht="56.25" x14ac:dyDescent="0.25">
      <c r="A66" s="224"/>
      <c r="B66" s="225" t="s">
        <v>296</v>
      </c>
      <c r="C66" s="181" t="s">
        <v>295</v>
      </c>
      <c r="D66" s="181" t="s">
        <v>294</v>
      </c>
      <c r="E66" s="181" t="s">
        <v>293</v>
      </c>
      <c r="F66" s="93">
        <v>3</v>
      </c>
      <c r="G66" s="115">
        <v>3</v>
      </c>
      <c r="H66" s="172">
        <f t="shared" si="16"/>
        <v>1</v>
      </c>
      <c r="I66" s="52" t="s">
        <v>646</v>
      </c>
      <c r="J66" s="27">
        <f t="shared" si="14"/>
        <v>1</v>
      </c>
      <c r="K66" s="175">
        <v>12</v>
      </c>
      <c r="L66" s="112">
        <f>(3+3+3+G66)</f>
        <v>12</v>
      </c>
      <c r="M66" s="172">
        <f t="shared" si="15"/>
        <v>1</v>
      </c>
      <c r="N66" s="182">
        <v>0</v>
      </c>
      <c r="O66" s="241"/>
      <c r="P66" s="194"/>
      <c r="Q66" s="197"/>
      <c r="R66" s="241"/>
      <c r="S66" s="194"/>
      <c r="T66" s="197"/>
      <c r="U66" s="182"/>
      <c r="X66" s="18">
        <f t="shared" si="11"/>
        <v>0</v>
      </c>
      <c r="Y66" s="18">
        <f t="shared" si="12"/>
        <v>0</v>
      </c>
    </row>
    <row r="67" spans="1:26" ht="78.75" x14ac:dyDescent="0.25">
      <c r="A67" s="224"/>
      <c r="B67" s="225"/>
      <c r="C67" s="51" t="s">
        <v>608</v>
      </c>
      <c r="D67" s="181" t="s">
        <v>292</v>
      </c>
      <c r="E67" s="181" t="s">
        <v>291</v>
      </c>
      <c r="F67" s="93">
        <v>6</v>
      </c>
      <c r="G67" s="115">
        <v>6</v>
      </c>
      <c r="H67" s="172">
        <v>1</v>
      </c>
      <c r="I67" s="52" t="s">
        <v>679</v>
      </c>
      <c r="J67" s="27">
        <f t="shared" si="14"/>
        <v>1</v>
      </c>
      <c r="K67" s="182">
        <v>40</v>
      </c>
      <c r="L67" s="112">
        <f>(9+18+8+G67)</f>
        <v>41</v>
      </c>
      <c r="M67" s="172">
        <f t="shared" si="15"/>
        <v>1.0249999999999999</v>
      </c>
      <c r="N67" s="182">
        <v>0</v>
      </c>
      <c r="O67" s="241"/>
      <c r="P67" s="194"/>
      <c r="Q67" s="197"/>
      <c r="R67" s="241"/>
      <c r="S67" s="194"/>
      <c r="T67" s="197"/>
      <c r="U67" s="62"/>
      <c r="X67" s="18">
        <f t="shared" si="11"/>
        <v>0</v>
      </c>
      <c r="Y67" s="18">
        <f t="shared" si="12"/>
        <v>0</v>
      </c>
    </row>
    <row r="68" spans="1:26" x14ac:dyDescent="0.25">
      <c r="A68" s="240" t="s">
        <v>290</v>
      </c>
      <c r="B68" s="240"/>
      <c r="C68" s="240"/>
      <c r="D68" s="240"/>
      <c r="E68" s="240"/>
      <c r="F68" s="240"/>
      <c r="G68" s="240"/>
      <c r="H68" s="240"/>
      <c r="I68" s="240"/>
      <c r="J68" s="240"/>
      <c r="K68" s="240"/>
      <c r="L68" s="240"/>
      <c r="M68" s="240"/>
      <c r="N68" s="240"/>
      <c r="O68" s="240"/>
      <c r="P68" s="240"/>
      <c r="Q68" s="240"/>
      <c r="R68" s="240"/>
      <c r="S68" s="240"/>
      <c r="T68" s="240"/>
      <c r="U68" s="240"/>
      <c r="X68" s="18">
        <f t="shared" si="11"/>
        <v>0</v>
      </c>
      <c r="Y68" s="18">
        <f t="shared" si="12"/>
        <v>0</v>
      </c>
    </row>
    <row r="69" spans="1:26" ht="56.25" x14ac:dyDescent="0.25">
      <c r="A69" s="224" t="s">
        <v>289</v>
      </c>
      <c r="B69" s="180" t="s">
        <v>288</v>
      </c>
      <c r="C69" s="181" t="s">
        <v>287</v>
      </c>
      <c r="D69" s="181" t="s">
        <v>286</v>
      </c>
      <c r="E69" s="181" t="s">
        <v>285</v>
      </c>
      <c r="F69" s="116">
        <v>1</v>
      </c>
      <c r="G69" s="117">
        <v>1</v>
      </c>
      <c r="H69" s="172">
        <f>G69/F69</f>
        <v>1</v>
      </c>
      <c r="I69" s="52" t="s">
        <v>680</v>
      </c>
      <c r="J69" s="171">
        <f>H69</f>
        <v>1</v>
      </c>
      <c r="K69" s="175">
        <v>4</v>
      </c>
      <c r="L69" s="82">
        <f>(1+1+1+G69)</f>
        <v>4</v>
      </c>
      <c r="M69" s="172">
        <f t="shared" si="15"/>
        <v>1</v>
      </c>
      <c r="N69" s="182">
        <v>0</v>
      </c>
      <c r="O69" s="195">
        <v>1069158125</v>
      </c>
      <c r="P69" s="194">
        <v>942960720.39999998</v>
      </c>
      <c r="Q69" s="197">
        <f>P69/O69</f>
        <v>0.88196563104264858</v>
      </c>
      <c r="R69" s="195">
        <v>4276632501</v>
      </c>
      <c r="S69" s="194">
        <v>4009300036.3000002</v>
      </c>
      <c r="T69" s="197">
        <f>S69/R69</f>
        <v>0.93748996093597248</v>
      </c>
      <c r="U69" s="61"/>
      <c r="X69" s="18">
        <f t="shared" si="11"/>
        <v>4276632501</v>
      </c>
      <c r="Y69" s="18">
        <f t="shared" si="12"/>
        <v>942960720.39999998</v>
      </c>
    </row>
    <row r="70" spans="1:26" ht="146.25" x14ac:dyDescent="0.25">
      <c r="A70" s="224"/>
      <c r="B70" s="180" t="s">
        <v>284</v>
      </c>
      <c r="C70" s="181" t="s">
        <v>283</v>
      </c>
      <c r="D70" s="181" t="s">
        <v>282</v>
      </c>
      <c r="E70" s="181" t="s">
        <v>281</v>
      </c>
      <c r="F70" s="116">
        <v>10</v>
      </c>
      <c r="G70" s="118">
        <v>10</v>
      </c>
      <c r="H70" s="172">
        <f>G70/F70</f>
        <v>1</v>
      </c>
      <c r="I70" s="52" t="s">
        <v>681</v>
      </c>
      <c r="J70" s="171">
        <f>H70</f>
        <v>1</v>
      </c>
      <c r="K70" s="175">
        <v>40</v>
      </c>
      <c r="L70" s="82">
        <f>(10+10+10+G70)</f>
        <v>40</v>
      </c>
      <c r="M70" s="172">
        <f t="shared" si="15"/>
        <v>1</v>
      </c>
      <c r="N70" s="182">
        <v>0</v>
      </c>
      <c r="O70" s="195"/>
      <c r="P70" s="194"/>
      <c r="Q70" s="197"/>
      <c r="R70" s="195"/>
      <c r="S70" s="194"/>
      <c r="T70" s="197"/>
      <c r="U70" s="61"/>
      <c r="X70" s="18">
        <f t="shared" si="11"/>
        <v>0</v>
      </c>
      <c r="Y70" s="18">
        <f t="shared" si="12"/>
        <v>0</v>
      </c>
    </row>
    <row r="71" spans="1:26" x14ac:dyDescent="0.25">
      <c r="A71" s="227" t="s">
        <v>280</v>
      </c>
      <c r="B71" s="227"/>
      <c r="C71" s="227"/>
      <c r="D71" s="227"/>
      <c r="E71" s="227"/>
      <c r="F71" s="227"/>
      <c r="G71" s="227"/>
      <c r="H71" s="227"/>
      <c r="I71" s="227"/>
      <c r="J71" s="227"/>
      <c r="K71" s="227"/>
      <c r="L71" s="227"/>
      <c r="M71" s="227"/>
      <c r="N71" s="227"/>
      <c r="O71" s="227"/>
      <c r="P71" s="227"/>
      <c r="Q71" s="227"/>
      <c r="R71" s="227"/>
      <c r="S71" s="227"/>
      <c r="T71" s="227"/>
      <c r="U71" s="227"/>
      <c r="X71" s="18">
        <f t="shared" si="11"/>
        <v>0</v>
      </c>
      <c r="Y71" s="18">
        <f t="shared" si="12"/>
        <v>0</v>
      </c>
    </row>
    <row r="72" spans="1:26" ht="45" customHeight="1" x14ac:dyDescent="0.25">
      <c r="A72" s="232" t="s">
        <v>279</v>
      </c>
      <c r="B72" s="225" t="s">
        <v>278</v>
      </c>
      <c r="C72" s="233" t="s">
        <v>277</v>
      </c>
      <c r="D72" s="181" t="s">
        <v>276</v>
      </c>
      <c r="E72" s="181" t="s">
        <v>275</v>
      </c>
      <c r="F72" s="67">
        <v>1</v>
      </c>
      <c r="G72" s="119">
        <v>1</v>
      </c>
      <c r="H72" s="172">
        <f>G72/F72</f>
        <v>1</v>
      </c>
      <c r="I72" s="254" t="s">
        <v>682</v>
      </c>
      <c r="J72" s="185">
        <f>H72</f>
        <v>1</v>
      </c>
      <c r="K72" s="36">
        <v>1</v>
      </c>
      <c r="L72" s="172">
        <f>(100%+100%+100%+G72)/4</f>
        <v>1</v>
      </c>
      <c r="M72" s="172">
        <f>L72/K72</f>
        <v>1</v>
      </c>
      <c r="N72" s="182">
        <v>0</v>
      </c>
      <c r="O72" s="195">
        <v>589158125</v>
      </c>
      <c r="P72" s="194">
        <v>545924627.60000002</v>
      </c>
      <c r="Q72" s="239">
        <f>P72/O72</f>
        <v>0.92661817674160063</v>
      </c>
      <c r="R72" s="195">
        <v>2356632501</v>
      </c>
      <c r="S72" s="194">
        <v>2244647389.6999998</v>
      </c>
      <c r="T72" s="197">
        <f>S72/R72</f>
        <v>0.95248087631292488</v>
      </c>
      <c r="U72" s="61"/>
      <c r="X72" s="18">
        <f t="shared" si="11"/>
        <v>2356632501</v>
      </c>
      <c r="Y72" s="18">
        <f t="shared" si="12"/>
        <v>545924627.60000002</v>
      </c>
    </row>
    <row r="73" spans="1:26" ht="55.5" customHeight="1" x14ac:dyDescent="0.25">
      <c r="A73" s="232"/>
      <c r="B73" s="225"/>
      <c r="C73" s="233"/>
      <c r="D73" s="181" t="s">
        <v>274</v>
      </c>
      <c r="E73" s="181" t="s">
        <v>273</v>
      </c>
      <c r="F73" s="67">
        <v>1</v>
      </c>
      <c r="G73" s="119">
        <v>1</v>
      </c>
      <c r="H73" s="172">
        <f>G73/F73</f>
        <v>1</v>
      </c>
      <c r="I73" s="255"/>
      <c r="J73" s="185">
        <f>H73</f>
        <v>1</v>
      </c>
      <c r="K73" s="36">
        <v>1</v>
      </c>
      <c r="L73" s="172">
        <f>(100%+100%+100%+G73)/4</f>
        <v>1</v>
      </c>
      <c r="M73" s="172">
        <f>L73/K73</f>
        <v>1</v>
      </c>
      <c r="N73" s="182">
        <v>0</v>
      </c>
      <c r="O73" s="195"/>
      <c r="P73" s="194"/>
      <c r="Q73" s="239"/>
      <c r="R73" s="195"/>
      <c r="S73" s="194"/>
      <c r="T73" s="197"/>
      <c r="U73" s="61"/>
      <c r="X73" s="18">
        <f t="shared" si="11"/>
        <v>0</v>
      </c>
      <c r="Y73" s="18">
        <f t="shared" si="12"/>
        <v>0</v>
      </c>
    </row>
    <row r="74" spans="1:26" ht="39.950000000000003" customHeight="1" x14ac:dyDescent="0.25">
      <c r="A74" s="232"/>
      <c r="B74" s="225"/>
      <c r="C74" s="233" t="s">
        <v>272</v>
      </c>
      <c r="D74" s="181" t="s">
        <v>271</v>
      </c>
      <c r="E74" s="181" t="s">
        <v>270</v>
      </c>
      <c r="F74" s="67">
        <v>1</v>
      </c>
      <c r="G74" s="119">
        <v>1</v>
      </c>
      <c r="H74" s="172">
        <f>G74/F74</f>
        <v>1</v>
      </c>
      <c r="I74" s="256" t="s">
        <v>683</v>
      </c>
      <c r="J74" s="185">
        <f>H74</f>
        <v>1</v>
      </c>
      <c r="K74" s="36">
        <v>1</v>
      </c>
      <c r="L74" s="172">
        <f>(100%+100%+100%+G74)/4</f>
        <v>1</v>
      </c>
      <c r="M74" s="172">
        <f>L74/K74</f>
        <v>1</v>
      </c>
      <c r="N74" s="182">
        <v>0</v>
      </c>
      <c r="O74" s="195"/>
      <c r="P74" s="194"/>
      <c r="Q74" s="239"/>
      <c r="R74" s="195"/>
      <c r="S74" s="194"/>
      <c r="T74" s="197"/>
      <c r="U74" s="61"/>
      <c r="X74" s="18">
        <f t="shared" si="11"/>
        <v>0</v>
      </c>
      <c r="Y74" s="18">
        <f t="shared" si="12"/>
        <v>0</v>
      </c>
    </row>
    <row r="75" spans="1:26" ht="39.950000000000003" customHeight="1" x14ac:dyDescent="0.25">
      <c r="A75" s="232"/>
      <c r="B75" s="225"/>
      <c r="C75" s="233"/>
      <c r="D75" s="181" t="s">
        <v>269</v>
      </c>
      <c r="E75" s="181" t="s">
        <v>268</v>
      </c>
      <c r="F75" s="67">
        <v>1</v>
      </c>
      <c r="G75" s="119">
        <v>1</v>
      </c>
      <c r="H75" s="172">
        <f>G75/F75</f>
        <v>1</v>
      </c>
      <c r="I75" s="255"/>
      <c r="J75" s="185">
        <f>H75</f>
        <v>1</v>
      </c>
      <c r="K75" s="36">
        <v>1</v>
      </c>
      <c r="L75" s="172">
        <f>(100%+100%+100%+G75)/4</f>
        <v>1</v>
      </c>
      <c r="M75" s="172">
        <f>L75/K75</f>
        <v>1</v>
      </c>
      <c r="N75" s="182">
        <v>0</v>
      </c>
      <c r="O75" s="195"/>
      <c r="P75" s="194"/>
      <c r="Q75" s="239"/>
      <c r="R75" s="195"/>
      <c r="S75" s="194"/>
      <c r="T75" s="197"/>
      <c r="U75" s="61"/>
      <c r="X75" s="18">
        <f t="shared" si="11"/>
        <v>0</v>
      </c>
      <c r="Y75" s="18">
        <f t="shared" si="12"/>
        <v>0</v>
      </c>
    </row>
    <row r="76" spans="1:26" ht="78.75" x14ac:dyDescent="0.25">
      <c r="A76" s="232"/>
      <c r="B76" s="180" t="s">
        <v>267</v>
      </c>
      <c r="C76" s="181" t="s">
        <v>648</v>
      </c>
      <c r="D76" s="181" t="s">
        <v>266</v>
      </c>
      <c r="E76" s="181" t="s">
        <v>265</v>
      </c>
      <c r="F76" s="65">
        <v>1</v>
      </c>
      <c r="G76" s="85">
        <v>1</v>
      </c>
      <c r="H76" s="172">
        <f>G76/F76</f>
        <v>1</v>
      </c>
      <c r="I76" s="52" t="s">
        <v>684</v>
      </c>
      <c r="J76" s="185">
        <f>H76</f>
        <v>1</v>
      </c>
      <c r="K76" s="82">
        <v>5</v>
      </c>
      <c r="L76" s="112">
        <f>(1+2+1+G76)</f>
        <v>5</v>
      </c>
      <c r="M76" s="172">
        <f>L76/K76</f>
        <v>1</v>
      </c>
      <c r="N76" s="182">
        <v>0</v>
      </c>
      <c r="O76" s="195"/>
      <c r="P76" s="194"/>
      <c r="Q76" s="239"/>
      <c r="R76" s="195"/>
      <c r="S76" s="194"/>
      <c r="T76" s="197"/>
      <c r="U76" s="61"/>
      <c r="X76" s="18">
        <f t="shared" si="11"/>
        <v>0</v>
      </c>
      <c r="Y76" s="18">
        <f t="shared" si="12"/>
        <v>0</v>
      </c>
    </row>
    <row r="77" spans="1:26" x14ac:dyDescent="0.25">
      <c r="A77" s="209" t="s">
        <v>264</v>
      </c>
      <c r="B77" s="209"/>
      <c r="C77" s="209"/>
      <c r="D77" s="209"/>
      <c r="E77" s="209"/>
      <c r="F77" s="209"/>
      <c r="G77" s="209"/>
      <c r="H77" s="209"/>
      <c r="I77" s="209"/>
      <c r="J77" s="209"/>
      <c r="K77" s="209"/>
      <c r="L77" s="209"/>
      <c r="M77" s="209"/>
      <c r="N77" s="209"/>
      <c r="O77" s="209"/>
      <c r="P77" s="209"/>
      <c r="Q77" s="209"/>
      <c r="R77" s="209"/>
      <c r="S77" s="209"/>
      <c r="T77" s="209"/>
      <c r="U77" s="209"/>
    </row>
    <row r="78" spans="1:26" x14ac:dyDescent="0.25">
      <c r="A78" s="209" t="s">
        <v>263</v>
      </c>
      <c r="B78" s="209"/>
      <c r="C78" s="209"/>
      <c r="D78" s="209"/>
      <c r="E78" s="209"/>
      <c r="F78" s="209"/>
      <c r="G78" s="209"/>
      <c r="H78" s="209"/>
      <c r="I78" s="209"/>
      <c r="J78" s="209"/>
      <c r="K78" s="209"/>
      <c r="L78" s="209"/>
      <c r="M78" s="209"/>
      <c r="N78" s="209"/>
      <c r="O78" s="209"/>
      <c r="P78" s="209"/>
      <c r="Q78" s="209"/>
      <c r="R78" s="209"/>
      <c r="S78" s="209"/>
      <c r="T78" s="209"/>
      <c r="U78" s="209"/>
      <c r="X78" s="14" t="s">
        <v>443</v>
      </c>
      <c r="Y78" s="14" t="s">
        <v>442</v>
      </c>
    </row>
    <row r="79" spans="1:26" ht="33.75" x14ac:dyDescent="0.25">
      <c r="A79" s="196" t="s">
        <v>262</v>
      </c>
      <c r="B79" s="199" t="s">
        <v>261</v>
      </c>
      <c r="C79" s="170" t="s">
        <v>260</v>
      </c>
      <c r="D79" s="170" t="s">
        <v>259</v>
      </c>
      <c r="E79" s="170" t="s">
        <v>53</v>
      </c>
      <c r="F79" s="87" t="s">
        <v>572</v>
      </c>
      <c r="G79" s="120" t="s">
        <v>572</v>
      </c>
      <c r="H79" s="172" t="s">
        <v>572</v>
      </c>
      <c r="I79" s="33" t="s">
        <v>627</v>
      </c>
      <c r="J79" s="185" t="str">
        <f t="shared" ref="J79:J84" si="17">H79</f>
        <v>NP</v>
      </c>
      <c r="K79" s="36">
        <v>1</v>
      </c>
      <c r="L79" s="172">
        <f>(20%+80%)</f>
        <v>1</v>
      </c>
      <c r="M79" s="185">
        <f t="shared" ref="M79:M84" si="18">L79/K79</f>
        <v>1</v>
      </c>
      <c r="N79" s="183">
        <v>0</v>
      </c>
      <c r="O79" s="195">
        <v>791250563</v>
      </c>
      <c r="P79" s="194">
        <v>714686237.29999995</v>
      </c>
      <c r="Q79" s="197">
        <f>P79/O79</f>
        <v>0.90323630809220667</v>
      </c>
      <c r="R79" s="195">
        <v>3165002251</v>
      </c>
      <c r="S79" s="194">
        <v>2891880225.5999999</v>
      </c>
      <c r="T79" s="197">
        <f>S79/R79</f>
        <v>0.9137055825746393</v>
      </c>
      <c r="U79" s="182"/>
      <c r="W79" s="19">
        <f>SUM(X79:X112)</f>
        <v>42375044004</v>
      </c>
      <c r="X79" s="19">
        <f t="shared" ref="X79:X112" si="19">R79</f>
        <v>3165002251</v>
      </c>
      <c r="Y79" s="19">
        <f t="shared" ref="Y79:Y112" si="20">P79</f>
        <v>714686237.29999995</v>
      </c>
      <c r="Z79" s="19">
        <f>SUM(Y79:Y112)</f>
        <v>10209803390</v>
      </c>
    </row>
    <row r="80" spans="1:26" ht="101.25" x14ac:dyDescent="0.25">
      <c r="A80" s="196"/>
      <c r="B80" s="199"/>
      <c r="C80" s="178" t="s">
        <v>258</v>
      </c>
      <c r="D80" s="178" t="s">
        <v>257</v>
      </c>
      <c r="E80" s="170" t="s">
        <v>53</v>
      </c>
      <c r="F80" s="87">
        <v>0.4</v>
      </c>
      <c r="G80" s="120">
        <v>0.4</v>
      </c>
      <c r="H80" s="172">
        <f>G80/F80</f>
        <v>1</v>
      </c>
      <c r="I80" s="33" t="s">
        <v>685</v>
      </c>
      <c r="J80" s="185">
        <f t="shared" si="17"/>
        <v>1</v>
      </c>
      <c r="K80" s="36">
        <v>1</v>
      </c>
      <c r="L80" s="172">
        <f>20%+40%+G80</f>
        <v>1</v>
      </c>
      <c r="M80" s="185">
        <f t="shared" si="18"/>
        <v>1</v>
      </c>
      <c r="N80" s="182">
        <v>0</v>
      </c>
      <c r="O80" s="195"/>
      <c r="P80" s="194"/>
      <c r="Q80" s="197"/>
      <c r="R80" s="195"/>
      <c r="S80" s="194"/>
      <c r="T80" s="197"/>
      <c r="U80" s="182"/>
      <c r="X80" s="19">
        <f t="shared" si="19"/>
        <v>0</v>
      </c>
      <c r="Y80" s="19">
        <f t="shared" si="20"/>
        <v>0</v>
      </c>
    </row>
    <row r="81" spans="1:25" ht="101.25" x14ac:dyDescent="0.25">
      <c r="A81" s="196"/>
      <c r="B81" s="199"/>
      <c r="C81" s="178" t="s">
        <v>256</v>
      </c>
      <c r="D81" s="178" t="s">
        <v>255</v>
      </c>
      <c r="E81" s="170" t="s">
        <v>239</v>
      </c>
      <c r="F81" s="95">
        <v>8</v>
      </c>
      <c r="G81" s="121">
        <v>6</v>
      </c>
      <c r="H81" s="172">
        <f>G81/F81</f>
        <v>0.75</v>
      </c>
      <c r="I81" s="33" t="s">
        <v>686</v>
      </c>
      <c r="J81" s="185">
        <f t="shared" si="17"/>
        <v>0.75</v>
      </c>
      <c r="K81" s="83">
        <v>32</v>
      </c>
      <c r="L81" s="112">
        <f>(8+8+8+G81)</f>
        <v>30</v>
      </c>
      <c r="M81" s="185">
        <f t="shared" si="18"/>
        <v>0.9375</v>
      </c>
      <c r="N81" s="182">
        <v>0</v>
      </c>
      <c r="O81" s="195"/>
      <c r="P81" s="194"/>
      <c r="Q81" s="197"/>
      <c r="R81" s="195"/>
      <c r="S81" s="194"/>
      <c r="T81" s="197"/>
      <c r="U81" s="182"/>
      <c r="X81" s="19">
        <f t="shared" si="19"/>
        <v>0</v>
      </c>
      <c r="Y81" s="19">
        <f t="shared" si="20"/>
        <v>0</v>
      </c>
    </row>
    <row r="82" spans="1:25" ht="56.25" x14ac:dyDescent="0.25">
      <c r="A82" s="196"/>
      <c r="B82" s="199" t="s">
        <v>254</v>
      </c>
      <c r="C82" s="34" t="s">
        <v>253</v>
      </c>
      <c r="D82" s="170" t="s">
        <v>251</v>
      </c>
      <c r="E82" s="170" t="s">
        <v>239</v>
      </c>
      <c r="F82" s="95">
        <v>2</v>
      </c>
      <c r="G82" s="121">
        <v>1</v>
      </c>
      <c r="H82" s="172">
        <f>G82/F82</f>
        <v>0.5</v>
      </c>
      <c r="I82" s="33" t="s">
        <v>628</v>
      </c>
      <c r="J82" s="185">
        <f t="shared" si="17"/>
        <v>0.5</v>
      </c>
      <c r="K82" s="83">
        <v>7</v>
      </c>
      <c r="L82" s="112">
        <f>1+2+2+G82</f>
        <v>6</v>
      </c>
      <c r="M82" s="185">
        <f>L82/K82</f>
        <v>0.8571428571428571</v>
      </c>
      <c r="N82" s="182">
        <v>0</v>
      </c>
      <c r="O82" s="195"/>
      <c r="P82" s="194"/>
      <c r="Q82" s="197"/>
      <c r="R82" s="195"/>
      <c r="S82" s="194"/>
      <c r="T82" s="197"/>
      <c r="U82" s="182"/>
      <c r="X82" s="19">
        <f t="shared" si="19"/>
        <v>0</v>
      </c>
      <c r="Y82" s="19">
        <f t="shared" si="20"/>
        <v>0</v>
      </c>
    </row>
    <row r="83" spans="1:25" ht="33.75" x14ac:dyDescent="0.25">
      <c r="A83" s="196"/>
      <c r="B83" s="199"/>
      <c r="C83" s="34" t="s">
        <v>252</v>
      </c>
      <c r="D83" s="170" t="s">
        <v>251</v>
      </c>
      <c r="E83" s="170" t="s">
        <v>239</v>
      </c>
      <c r="F83" s="95">
        <v>2</v>
      </c>
      <c r="G83" s="121">
        <v>1</v>
      </c>
      <c r="H83" s="172">
        <f>G83/F83</f>
        <v>0.5</v>
      </c>
      <c r="I83" s="33" t="s">
        <v>629</v>
      </c>
      <c r="J83" s="185">
        <f t="shared" si="17"/>
        <v>0.5</v>
      </c>
      <c r="K83" s="83">
        <v>8</v>
      </c>
      <c r="L83" s="112">
        <f>(2+2+2+G83)</f>
        <v>7</v>
      </c>
      <c r="M83" s="185">
        <f t="shared" si="18"/>
        <v>0.875</v>
      </c>
      <c r="N83" s="182">
        <v>0</v>
      </c>
      <c r="O83" s="195"/>
      <c r="P83" s="194"/>
      <c r="Q83" s="197"/>
      <c r="R83" s="195"/>
      <c r="S83" s="194"/>
      <c r="T83" s="197"/>
      <c r="U83" s="182"/>
      <c r="X83" s="19">
        <f t="shared" si="19"/>
        <v>0</v>
      </c>
      <c r="Y83" s="19">
        <f t="shared" si="20"/>
        <v>0</v>
      </c>
    </row>
    <row r="84" spans="1:25" ht="56.25" x14ac:dyDescent="0.25">
      <c r="A84" s="196"/>
      <c r="B84" s="169" t="s">
        <v>250</v>
      </c>
      <c r="C84" s="170" t="s">
        <v>590</v>
      </c>
      <c r="D84" s="170" t="s">
        <v>249</v>
      </c>
      <c r="E84" s="170" t="s">
        <v>239</v>
      </c>
      <c r="F84" s="95">
        <v>350</v>
      </c>
      <c r="G84" s="121">
        <v>305</v>
      </c>
      <c r="H84" s="172">
        <f>G84/F84</f>
        <v>0.87142857142857144</v>
      </c>
      <c r="I84" s="33" t="s">
        <v>687</v>
      </c>
      <c r="J84" s="185">
        <f t="shared" si="17"/>
        <v>0.87142857142857144</v>
      </c>
      <c r="K84" s="82">
        <v>1400</v>
      </c>
      <c r="L84" s="112">
        <f>211+588+251+G84</f>
        <v>1355</v>
      </c>
      <c r="M84" s="176">
        <f t="shared" si="18"/>
        <v>0.96785714285714286</v>
      </c>
      <c r="N84" s="182">
        <v>0</v>
      </c>
      <c r="O84" s="195"/>
      <c r="P84" s="194"/>
      <c r="Q84" s="197"/>
      <c r="R84" s="195"/>
      <c r="S84" s="194"/>
      <c r="T84" s="197"/>
      <c r="U84" s="55"/>
      <c r="X84" s="19">
        <f t="shared" si="19"/>
        <v>0</v>
      </c>
      <c r="Y84" s="19">
        <f t="shared" si="20"/>
        <v>0</v>
      </c>
    </row>
    <row r="85" spans="1:25" x14ac:dyDescent="0.25">
      <c r="A85" s="209" t="s">
        <v>248</v>
      </c>
      <c r="B85" s="209"/>
      <c r="C85" s="209"/>
      <c r="D85" s="209"/>
      <c r="E85" s="209"/>
      <c r="F85" s="209"/>
      <c r="G85" s="209"/>
      <c r="H85" s="209"/>
      <c r="I85" s="209"/>
      <c r="J85" s="209"/>
      <c r="K85" s="209"/>
      <c r="L85" s="209"/>
      <c r="M85" s="209"/>
      <c r="N85" s="209"/>
      <c r="O85" s="209"/>
      <c r="P85" s="209"/>
      <c r="Q85" s="209"/>
      <c r="R85" s="209"/>
      <c r="S85" s="209"/>
      <c r="T85" s="209"/>
      <c r="U85" s="209"/>
      <c r="X85" s="19">
        <f t="shared" si="19"/>
        <v>0</v>
      </c>
      <c r="Y85" s="19">
        <f t="shared" si="20"/>
        <v>0</v>
      </c>
    </row>
    <row r="86" spans="1:25" ht="167.25" customHeight="1" x14ac:dyDescent="0.25">
      <c r="A86" s="196" t="s">
        <v>247</v>
      </c>
      <c r="B86" s="199" t="s">
        <v>246</v>
      </c>
      <c r="C86" s="170" t="s">
        <v>245</v>
      </c>
      <c r="D86" s="170" t="s">
        <v>244</v>
      </c>
      <c r="E86" s="170" t="s">
        <v>239</v>
      </c>
      <c r="F86" s="96">
        <v>1</v>
      </c>
      <c r="G86" s="122">
        <v>1</v>
      </c>
      <c r="H86" s="172">
        <f>G86/F86</f>
        <v>1</v>
      </c>
      <c r="I86" s="33" t="s">
        <v>688</v>
      </c>
      <c r="J86" s="185">
        <f>H86</f>
        <v>1</v>
      </c>
      <c r="K86" s="175">
        <v>4</v>
      </c>
      <c r="L86" s="112">
        <f>1+1+1+G86</f>
        <v>4</v>
      </c>
      <c r="M86" s="172">
        <f>L86/K86</f>
        <v>1</v>
      </c>
      <c r="N86" s="182">
        <v>0</v>
      </c>
      <c r="O86" s="195">
        <v>759009313</v>
      </c>
      <c r="P86" s="194">
        <v>714686237.29999995</v>
      </c>
      <c r="Q86" s="197">
        <f>P86/O86</f>
        <v>0.94160404234723794</v>
      </c>
      <c r="R86" s="195">
        <v>3036037251</v>
      </c>
      <c r="S86" s="194">
        <v>2881645849.5999999</v>
      </c>
      <c r="T86" s="197">
        <f>S86/R86</f>
        <v>0.94914706618005196</v>
      </c>
      <c r="U86" s="61"/>
      <c r="X86" s="19">
        <f t="shared" si="19"/>
        <v>3036037251</v>
      </c>
      <c r="Y86" s="19">
        <f t="shared" si="20"/>
        <v>714686237.29999995</v>
      </c>
    </row>
    <row r="87" spans="1:25" ht="135" x14ac:dyDescent="0.25">
      <c r="A87" s="196"/>
      <c r="B87" s="199"/>
      <c r="C87" s="170" t="s">
        <v>243</v>
      </c>
      <c r="D87" s="170" t="s">
        <v>242</v>
      </c>
      <c r="E87" s="170" t="s">
        <v>239</v>
      </c>
      <c r="F87" s="96">
        <v>5</v>
      </c>
      <c r="G87" s="122">
        <v>5</v>
      </c>
      <c r="H87" s="172">
        <f>G87/F87</f>
        <v>1</v>
      </c>
      <c r="I87" s="33" t="s">
        <v>630</v>
      </c>
      <c r="J87" s="185">
        <f>H87</f>
        <v>1</v>
      </c>
      <c r="K87" s="175">
        <v>20</v>
      </c>
      <c r="L87" s="112">
        <f>5+5+5+G87</f>
        <v>20</v>
      </c>
      <c r="M87" s="172">
        <f>L87/K87</f>
        <v>1</v>
      </c>
      <c r="N87" s="35">
        <v>0</v>
      </c>
      <c r="O87" s="195"/>
      <c r="P87" s="194"/>
      <c r="Q87" s="197"/>
      <c r="R87" s="195"/>
      <c r="S87" s="194"/>
      <c r="T87" s="197"/>
      <c r="U87" s="61"/>
      <c r="X87" s="19">
        <f t="shared" si="19"/>
        <v>0</v>
      </c>
      <c r="Y87" s="19">
        <f t="shared" si="20"/>
        <v>0</v>
      </c>
    </row>
    <row r="88" spans="1:25" ht="67.5" x14ac:dyDescent="0.25">
      <c r="A88" s="196"/>
      <c r="B88" s="199"/>
      <c r="C88" s="170" t="s">
        <v>241</v>
      </c>
      <c r="D88" s="170" t="s">
        <v>240</v>
      </c>
      <c r="E88" s="170" t="s">
        <v>239</v>
      </c>
      <c r="F88" s="96">
        <v>1</v>
      </c>
      <c r="G88" s="122">
        <v>1</v>
      </c>
      <c r="H88" s="172">
        <v>1</v>
      </c>
      <c r="I88" s="33" t="s">
        <v>689</v>
      </c>
      <c r="J88" s="185">
        <f>H88</f>
        <v>1</v>
      </c>
      <c r="K88" s="175">
        <v>4</v>
      </c>
      <c r="L88" s="112">
        <f>1+1+1+G88</f>
        <v>4</v>
      </c>
      <c r="M88" s="172">
        <f>L88/K88</f>
        <v>1</v>
      </c>
      <c r="N88" s="182">
        <v>0</v>
      </c>
      <c r="O88" s="195"/>
      <c r="P88" s="194"/>
      <c r="Q88" s="197"/>
      <c r="R88" s="195"/>
      <c r="S88" s="194"/>
      <c r="T88" s="197"/>
      <c r="U88" s="61"/>
      <c r="X88" s="19">
        <f t="shared" si="19"/>
        <v>0</v>
      </c>
      <c r="Y88" s="19">
        <f t="shared" si="20"/>
        <v>0</v>
      </c>
    </row>
    <row r="89" spans="1:25" x14ac:dyDescent="0.25">
      <c r="A89" s="209" t="s">
        <v>238</v>
      </c>
      <c r="B89" s="209"/>
      <c r="C89" s="209"/>
      <c r="D89" s="209"/>
      <c r="E89" s="209"/>
      <c r="F89" s="209"/>
      <c r="G89" s="209"/>
      <c r="H89" s="209"/>
      <c r="I89" s="209"/>
      <c r="J89" s="209"/>
      <c r="K89" s="209"/>
      <c r="L89" s="209"/>
      <c r="M89" s="209"/>
      <c r="N89" s="209"/>
      <c r="O89" s="209"/>
      <c r="P89" s="209"/>
      <c r="Q89" s="209"/>
      <c r="R89" s="209"/>
      <c r="S89" s="209"/>
      <c r="T89" s="209"/>
      <c r="U89" s="209"/>
      <c r="X89" s="19">
        <f t="shared" si="19"/>
        <v>0</v>
      </c>
      <c r="Y89" s="19">
        <f t="shared" si="20"/>
        <v>0</v>
      </c>
    </row>
    <row r="90" spans="1:25" ht="135" x14ac:dyDescent="0.25">
      <c r="A90" s="196" t="s">
        <v>237</v>
      </c>
      <c r="B90" s="199" t="s">
        <v>236</v>
      </c>
      <c r="C90" s="201" t="s">
        <v>235</v>
      </c>
      <c r="D90" s="170" t="s">
        <v>472</v>
      </c>
      <c r="E90" s="170" t="s">
        <v>53</v>
      </c>
      <c r="F90" s="94">
        <v>1</v>
      </c>
      <c r="G90" s="124">
        <v>1</v>
      </c>
      <c r="H90" s="172">
        <f>G90/F90</f>
        <v>1</v>
      </c>
      <c r="I90" s="70" t="s">
        <v>690</v>
      </c>
      <c r="J90" s="172">
        <f t="shared" ref="J90:J103" si="21">H90</f>
        <v>1</v>
      </c>
      <c r="K90" s="36">
        <v>1</v>
      </c>
      <c r="L90" s="172">
        <f>(100%+100%+100%+G90)/4</f>
        <v>1</v>
      </c>
      <c r="M90" s="172">
        <f>L90/K90</f>
        <v>1</v>
      </c>
      <c r="N90" s="182">
        <v>0</v>
      </c>
      <c r="O90" s="195">
        <v>4205500563</v>
      </c>
      <c r="P90" s="194">
        <v>4083921356</v>
      </c>
      <c r="Q90" s="197">
        <f>P90/O90</f>
        <v>0.97109043140556106</v>
      </c>
      <c r="R90" s="195">
        <v>16822002251</v>
      </c>
      <c r="S90" s="194">
        <v>16587573407</v>
      </c>
      <c r="T90" s="197">
        <f>S90/R90</f>
        <v>0.98606415333311082</v>
      </c>
      <c r="U90" s="182"/>
      <c r="X90" s="19">
        <f t="shared" si="19"/>
        <v>16822002251</v>
      </c>
      <c r="Y90" s="19">
        <f t="shared" si="20"/>
        <v>4083921356</v>
      </c>
    </row>
    <row r="91" spans="1:25" ht="67.5" x14ac:dyDescent="0.25">
      <c r="A91" s="196"/>
      <c r="B91" s="199"/>
      <c r="C91" s="201"/>
      <c r="D91" s="170" t="s">
        <v>471</v>
      </c>
      <c r="E91" s="170" t="s">
        <v>231</v>
      </c>
      <c r="F91" s="97" t="s">
        <v>473</v>
      </c>
      <c r="G91" s="124">
        <v>1</v>
      </c>
      <c r="H91" s="172">
        <v>1</v>
      </c>
      <c r="I91" s="72" t="s">
        <v>691</v>
      </c>
      <c r="J91" s="172">
        <f t="shared" si="21"/>
        <v>1</v>
      </c>
      <c r="K91" s="176">
        <v>1</v>
      </c>
      <c r="L91" s="79">
        <f>(100%+100%+100%+G91)/4</f>
        <v>1</v>
      </c>
      <c r="M91" s="36">
        <f t="shared" ref="M91:M101" si="22">L91/K91</f>
        <v>1</v>
      </c>
      <c r="N91" s="182">
        <v>0</v>
      </c>
      <c r="O91" s="195"/>
      <c r="P91" s="194"/>
      <c r="Q91" s="197"/>
      <c r="R91" s="195"/>
      <c r="S91" s="194"/>
      <c r="T91" s="197"/>
      <c r="U91" s="182"/>
      <c r="X91" s="19">
        <f t="shared" si="19"/>
        <v>0</v>
      </c>
      <c r="Y91" s="19">
        <f t="shared" si="20"/>
        <v>0</v>
      </c>
    </row>
    <row r="92" spans="1:25" ht="33.75" x14ac:dyDescent="0.25">
      <c r="A92" s="196"/>
      <c r="B92" s="199"/>
      <c r="C92" s="201"/>
      <c r="D92" s="170" t="s">
        <v>234</v>
      </c>
      <c r="E92" s="170" t="s">
        <v>233</v>
      </c>
      <c r="F92" s="97">
        <v>26</v>
      </c>
      <c r="G92" s="125">
        <v>26</v>
      </c>
      <c r="H92" s="172">
        <f>G92/F92</f>
        <v>1</v>
      </c>
      <c r="I92" s="71" t="s">
        <v>692</v>
      </c>
      <c r="J92" s="172">
        <f t="shared" si="21"/>
        <v>1</v>
      </c>
      <c r="K92" s="130">
        <v>104</v>
      </c>
      <c r="L92" s="112">
        <f>26+26+26+G92</f>
        <v>104</v>
      </c>
      <c r="M92" s="172">
        <f t="shared" si="22"/>
        <v>1</v>
      </c>
      <c r="N92" s="182">
        <v>0</v>
      </c>
      <c r="O92" s="195"/>
      <c r="P92" s="194"/>
      <c r="Q92" s="197"/>
      <c r="R92" s="195"/>
      <c r="S92" s="194"/>
      <c r="T92" s="197"/>
      <c r="U92" s="182"/>
      <c r="X92" s="19">
        <f t="shared" si="19"/>
        <v>0</v>
      </c>
      <c r="Y92" s="19">
        <f t="shared" si="20"/>
        <v>0</v>
      </c>
    </row>
    <row r="93" spans="1:25" ht="33.75" customHeight="1" x14ac:dyDescent="0.25">
      <c r="A93" s="196"/>
      <c r="B93" s="199"/>
      <c r="C93" s="201" t="s">
        <v>232</v>
      </c>
      <c r="D93" s="170" t="s">
        <v>591</v>
      </c>
      <c r="E93" s="170" t="s">
        <v>53</v>
      </c>
      <c r="F93" s="98">
        <v>1</v>
      </c>
      <c r="G93" s="126">
        <v>1</v>
      </c>
      <c r="H93" s="172">
        <f>G93/F93</f>
        <v>1</v>
      </c>
      <c r="I93" s="70" t="s">
        <v>693</v>
      </c>
      <c r="J93" s="172">
        <f>H93</f>
        <v>1</v>
      </c>
      <c r="K93" s="185">
        <v>1</v>
      </c>
      <c r="L93" s="185">
        <f>(95%+100%+100%+G93)/4</f>
        <v>0.98750000000000004</v>
      </c>
      <c r="M93" s="172">
        <f>L93/K93</f>
        <v>0.98750000000000004</v>
      </c>
      <c r="N93" s="182"/>
      <c r="O93" s="195"/>
      <c r="P93" s="194"/>
      <c r="Q93" s="197"/>
      <c r="R93" s="195"/>
      <c r="S93" s="194"/>
      <c r="T93" s="197"/>
      <c r="U93" s="182"/>
      <c r="X93" s="19"/>
      <c r="Y93" s="19"/>
    </row>
    <row r="94" spans="1:25" ht="67.5" x14ac:dyDescent="0.25">
      <c r="A94" s="196"/>
      <c r="B94" s="199"/>
      <c r="C94" s="201"/>
      <c r="D94" s="170" t="s">
        <v>474</v>
      </c>
      <c r="E94" s="170" t="s">
        <v>233</v>
      </c>
      <c r="F94" s="97">
        <v>1</v>
      </c>
      <c r="G94" s="125">
        <v>1</v>
      </c>
      <c r="H94" s="172">
        <f>G94/F94</f>
        <v>1</v>
      </c>
      <c r="I94" s="72" t="s">
        <v>694</v>
      </c>
      <c r="J94" s="172">
        <f t="shared" si="21"/>
        <v>1</v>
      </c>
      <c r="K94" s="113">
        <v>3</v>
      </c>
      <c r="L94" s="83">
        <f>1+1+G94</f>
        <v>3</v>
      </c>
      <c r="M94" s="36">
        <f t="shared" si="22"/>
        <v>1</v>
      </c>
      <c r="N94" s="182">
        <v>0</v>
      </c>
      <c r="O94" s="195"/>
      <c r="P94" s="194"/>
      <c r="Q94" s="197"/>
      <c r="R94" s="195"/>
      <c r="S94" s="194"/>
      <c r="T94" s="197"/>
      <c r="U94" s="182"/>
      <c r="X94" s="19">
        <f t="shared" si="19"/>
        <v>0</v>
      </c>
      <c r="Y94" s="19">
        <f t="shared" si="20"/>
        <v>0</v>
      </c>
    </row>
    <row r="95" spans="1:25" ht="45" customHeight="1" x14ac:dyDescent="0.25">
      <c r="A95" s="196"/>
      <c r="B95" s="199"/>
      <c r="C95" s="211" t="s">
        <v>230</v>
      </c>
      <c r="D95" s="178" t="s">
        <v>475</v>
      </c>
      <c r="E95" s="178" t="s">
        <v>53</v>
      </c>
      <c r="F95" s="94">
        <v>0.25</v>
      </c>
      <c r="G95" s="127">
        <v>0.25</v>
      </c>
      <c r="H95" s="36">
        <f>G95/F95</f>
        <v>1</v>
      </c>
      <c r="I95" s="206" t="s">
        <v>695</v>
      </c>
      <c r="J95" s="36">
        <f t="shared" si="21"/>
        <v>1</v>
      </c>
      <c r="K95" s="131">
        <v>1</v>
      </c>
      <c r="L95" s="131">
        <f>20%+25%+25%+G95</f>
        <v>0.95</v>
      </c>
      <c r="M95" s="36">
        <f t="shared" si="22"/>
        <v>0.95</v>
      </c>
      <c r="N95" s="182">
        <v>0</v>
      </c>
      <c r="O95" s="195"/>
      <c r="P95" s="194"/>
      <c r="Q95" s="197"/>
      <c r="R95" s="195"/>
      <c r="S95" s="194"/>
      <c r="T95" s="197"/>
      <c r="U95" s="182"/>
      <c r="X95" s="19">
        <f t="shared" si="19"/>
        <v>0</v>
      </c>
      <c r="Y95" s="19">
        <f t="shared" si="20"/>
        <v>0</v>
      </c>
    </row>
    <row r="96" spans="1:25" ht="45" customHeight="1" x14ac:dyDescent="0.25">
      <c r="A96" s="196"/>
      <c r="B96" s="199"/>
      <c r="C96" s="211"/>
      <c r="D96" s="178" t="s">
        <v>229</v>
      </c>
      <c r="E96" s="178" t="s">
        <v>228</v>
      </c>
      <c r="F96" s="97">
        <v>4</v>
      </c>
      <c r="G96" s="125">
        <v>4</v>
      </c>
      <c r="H96" s="36">
        <v>1</v>
      </c>
      <c r="I96" s="207"/>
      <c r="J96" s="36">
        <f t="shared" si="21"/>
        <v>1</v>
      </c>
      <c r="K96" s="132">
        <v>14</v>
      </c>
      <c r="L96" s="113">
        <f>(5+4+3+G96)</f>
        <v>16</v>
      </c>
      <c r="M96" s="36">
        <f t="shared" si="22"/>
        <v>1.1428571428571428</v>
      </c>
      <c r="N96" s="182">
        <v>0</v>
      </c>
      <c r="O96" s="195"/>
      <c r="P96" s="194"/>
      <c r="Q96" s="197"/>
      <c r="R96" s="195"/>
      <c r="S96" s="194"/>
      <c r="T96" s="197"/>
      <c r="U96" s="55"/>
      <c r="X96" s="19">
        <f t="shared" si="19"/>
        <v>0</v>
      </c>
      <c r="Y96" s="19">
        <f t="shared" si="20"/>
        <v>0</v>
      </c>
    </row>
    <row r="97" spans="1:25" ht="69" customHeight="1" x14ac:dyDescent="0.25">
      <c r="A97" s="196"/>
      <c r="B97" s="199"/>
      <c r="C97" s="211"/>
      <c r="D97" s="46" t="s">
        <v>227</v>
      </c>
      <c r="E97" s="46" t="s">
        <v>226</v>
      </c>
      <c r="F97" s="97">
        <v>1</v>
      </c>
      <c r="G97" s="128">
        <v>1</v>
      </c>
      <c r="H97" s="47">
        <f t="shared" ref="H97:H103" si="23">G97/F97</f>
        <v>1</v>
      </c>
      <c r="I97" s="208"/>
      <c r="J97" s="36">
        <f t="shared" si="21"/>
        <v>1</v>
      </c>
      <c r="K97" s="132">
        <v>4</v>
      </c>
      <c r="L97" s="113">
        <f>1+1+1+G97</f>
        <v>4</v>
      </c>
      <c r="M97" s="36">
        <f t="shared" si="22"/>
        <v>1</v>
      </c>
      <c r="N97" s="182">
        <v>0</v>
      </c>
      <c r="O97" s="195"/>
      <c r="P97" s="194"/>
      <c r="Q97" s="197"/>
      <c r="R97" s="195"/>
      <c r="S97" s="194"/>
      <c r="T97" s="197"/>
      <c r="U97" s="182"/>
      <c r="X97" s="19">
        <f t="shared" si="19"/>
        <v>0</v>
      </c>
      <c r="Y97" s="19">
        <f t="shared" si="20"/>
        <v>0</v>
      </c>
    </row>
    <row r="98" spans="1:25" ht="81" customHeight="1" x14ac:dyDescent="0.25">
      <c r="A98" s="196"/>
      <c r="B98" s="169" t="s">
        <v>592</v>
      </c>
      <c r="C98" s="178" t="s">
        <v>476</v>
      </c>
      <c r="D98" s="178" t="s">
        <v>477</v>
      </c>
      <c r="E98" s="178" t="s">
        <v>478</v>
      </c>
      <c r="F98" s="94">
        <v>1</v>
      </c>
      <c r="G98" s="129">
        <v>1</v>
      </c>
      <c r="H98" s="172">
        <f t="shared" si="23"/>
        <v>1</v>
      </c>
      <c r="I98" s="123" t="s">
        <v>696</v>
      </c>
      <c r="J98" s="172">
        <f t="shared" si="21"/>
        <v>1</v>
      </c>
      <c r="K98" s="79">
        <v>1</v>
      </c>
      <c r="L98" s="185">
        <f>(100%+100%+100%+G98)/4</f>
        <v>1</v>
      </c>
      <c r="M98" s="172">
        <f t="shared" si="22"/>
        <v>1</v>
      </c>
      <c r="N98" s="182">
        <v>0</v>
      </c>
      <c r="O98" s="195"/>
      <c r="P98" s="194"/>
      <c r="Q98" s="197"/>
      <c r="R98" s="195"/>
      <c r="S98" s="194"/>
      <c r="T98" s="197"/>
      <c r="U98" s="182"/>
      <c r="X98" s="19">
        <f t="shared" si="19"/>
        <v>0</v>
      </c>
      <c r="Y98" s="19">
        <f t="shared" si="20"/>
        <v>0</v>
      </c>
    </row>
    <row r="99" spans="1:25" ht="33.75" x14ac:dyDescent="0.25">
      <c r="A99" s="196"/>
      <c r="B99" s="199" t="s">
        <v>225</v>
      </c>
      <c r="C99" s="201" t="s">
        <v>479</v>
      </c>
      <c r="D99" s="170" t="s">
        <v>224</v>
      </c>
      <c r="E99" s="170" t="s">
        <v>53</v>
      </c>
      <c r="F99" s="94">
        <v>0.2</v>
      </c>
      <c r="G99" s="129">
        <v>0.17</v>
      </c>
      <c r="H99" s="172">
        <f t="shared" si="23"/>
        <v>0.85</v>
      </c>
      <c r="I99" s="204" t="s">
        <v>697</v>
      </c>
      <c r="J99" s="172">
        <f t="shared" si="21"/>
        <v>0.85</v>
      </c>
      <c r="K99" s="133">
        <v>0.8</v>
      </c>
      <c r="L99" s="134">
        <f>(10%+32%+21%+G99)</f>
        <v>0.8</v>
      </c>
      <c r="M99" s="36">
        <f t="shared" si="22"/>
        <v>1</v>
      </c>
      <c r="N99" s="182">
        <v>0</v>
      </c>
      <c r="O99" s="195"/>
      <c r="P99" s="194"/>
      <c r="Q99" s="197"/>
      <c r="R99" s="195"/>
      <c r="S99" s="194"/>
      <c r="T99" s="197"/>
      <c r="U99" s="62"/>
      <c r="X99" s="19">
        <f t="shared" si="19"/>
        <v>0</v>
      </c>
      <c r="Y99" s="19">
        <f t="shared" si="20"/>
        <v>0</v>
      </c>
    </row>
    <row r="100" spans="1:25" ht="45" x14ac:dyDescent="0.25">
      <c r="A100" s="196"/>
      <c r="B100" s="199"/>
      <c r="C100" s="201"/>
      <c r="D100" s="170" t="s">
        <v>574</v>
      </c>
      <c r="E100" s="170" t="s">
        <v>53</v>
      </c>
      <c r="F100" s="94">
        <v>1</v>
      </c>
      <c r="G100" s="129">
        <v>1</v>
      </c>
      <c r="H100" s="177">
        <f t="shared" si="23"/>
        <v>1</v>
      </c>
      <c r="I100" s="205"/>
      <c r="J100" s="172">
        <f t="shared" si="21"/>
        <v>1</v>
      </c>
      <c r="K100" s="36">
        <v>1</v>
      </c>
      <c r="L100" s="172">
        <f>(100%+100%+100%+G100)/4</f>
        <v>1</v>
      </c>
      <c r="M100" s="172">
        <f t="shared" si="22"/>
        <v>1</v>
      </c>
      <c r="N100" s="182">
        <v>0</v>
      </c>
      <c r="O100" s="195"/>
      <c r="P100" s="194"/>
      <c r="Q100" s="197"/>
      <c r="R100" s="195"/>
      <c r="S100" s="194"/>
      <c r="T100" s="197"/>
      <c r="U100" s="182"/>
      <c r="X100" s="19">
        <f t="shared" si="19"/>
        <v>0</v>
      </c>
      <c r="Y100" s="19">
        <f t="shared" si="20"/>
        <v>0</v>
      </c>
    </row>
    <row r="101" spans="1:25" ht="78.75" x14ac:dyDescent="0.25">
      <c r="A101" s="196"/>
      <c r="B101" s="199"/>
      <c r="C101" s="178" t="s">
        <v>480</v>
      </c>
      <c r="D101" s="170" t="s">
        <v>223</v>
      </c>
      <c r="E101" s="170" t="s">
        <v>53</v>
      </c>
      <c r="F101" s="94">
        <v>1</v>
      </c>
      <c r="G101" s="129">
        <v>1</v>
      </c>
      <c r="H101" s="172">
        <f t="shared" si="23"/>
        <v>1</v>
      </c>
      <c r="I101" s="123" t="s">
        <v>698</v>
      </c>
      <c r="J101" s="172">
        <f t="shared" si="21"/>
        <v>1</v>
      </c>
      <c r="K101" s="36">
        <v>1</v>
      </c>
      <c r="L101" s="36">
        <f>(100%+100%+100%+G101)/4</f>
        <v>1</v>
      </c>
      <c r="M101" s="172">
        <f t="shared" si="22"/>
        <v>1</v>
      </c>
      <c r="N101" s="182">
        <v>0</v>
      </c>
      <c r="O101" s="195"/>
      <c r="P101" s="194"/>
      <c r="Q101" s="197"/>
      <c r="R101" s="195"/>
      <c r="S101" s="194"/>
      <c r="T101" s="197"/>
      <c r="U101" s="182"/>
      <c r="X101" s="19">
        <f t="shared" si="19"/>
        <v>0</v>
      </c>
      <c r="Y101" s="19">
        <f t="shared" si="20"/>
        <v>0</v>
      </c>
    </row>
    <row r="102" spans="1:25" ht="39.950000000000003" customHeight="1" x14ac:dyDescent="0.25">
      <c r="A102" s="196"/>
      <c r="B102" s="199"/>
      <c r="C102" s="200" t="s">
        <v>222</v>
      </c>
      <c r="D102" s="170" t="s">
        <v>481</v>
      </c>
      <c r="E102" s="178" t="s">
        <v>478</v>
      </c>
      <c r="F102" s="94">
        <v>0.1</v>
      </c>
      <c r="G102" s="129">
        <v>0.1</v>
      </c>
      <c r="H102" s="26">
        <f t="shared" si="23"/>
        <v>1</v>
      </c>
      <c r="I102" s="184" t="s">
        <v>631</v>
      </c>
      <c r="J102" s="171">
        <f t="shared" si="21"/>
        <v>1</v>
      </c>
      <c r="K102" s="79">
        <v>1</v>
      </c>
      <c r="L102" s="171">
        <f>60%+30%+G102</f>
        <v>0.99999999999999989</v>
      </c>
      <c r="M102" s="171">
        <f>L102/K102</f>
        <v>0.99999999999999989</v>
      </c>
      <c r="N102" s="212">
        <v>0</v>
      </c>
      <c r="O102" s="195"/>
      <c r="P102" s="194"/>
      <c r="Q102" s="197"/>
      <c r="R102" s="195"/>
      <c r="S102" s="194"/>
      <c r="T102" s="197"/>
      <c r="U102" s="202"/>
      <c r="X102" s="19">
        <f t="shared" si="19"/>
        <v>0</v>
      </c>
      <c r="Y102" s="19">
        <f t="shared" si="20"/>
        <v>0</v>
      </c>
    </row>
    <row r="103" spans="1:25" ht="39.950000000000003" customHeight="1" x14ac:dyDescent="0.25">
      <c r="A103" s="196"/>
      <c r="B103" s="199"/>
      <c r="C103" s="200"/>
      <c r="D103" s="170" t="s">
        <v>482</v>
      </c>
      <c r="E103" s="178" t="s">
        <v>478</v>
      </c>
      <c r="F103" s="98">
        <v>0.7</v>
      </c>
      <c r="G103" s="129">
        <v>0.6</v>
      </c>
      <c r="H103" s="26">
        <f t="shared" si="23"/>
        <v>0.85714285714285721</v>
      </c>
      <c r="I103" s="123" t="s">
        <v>631</v>
      </c>
      <c r="J103" s="171">
        <f t="shared" si="21"/>
        <v>0.85714285714285721</v>
      </c>
      <c r="K103" s="79">
        <v>1</v>
      </c>
      <c r="L103" s="171">
        <f>40%+G103</f>
        <v>1</v>
      </c>
      <c r="M103" s="171">
        <f>L103/K103</f>
        <v>1</v>
      </c>
      <c r="N103" s="212"/>
      <c r="O103" s="195"/>
      <c r="P103" s="194"/>
      <c r="Q103" s="197"/>
      <c r="R103" s="195"/>
      <c r="S103" s="194"/>
      <c r="T103" s="197"/>
      <c r="U103" s="203"/>
      <c r="X103" s="19">
        <f t="shared" si="19"/>
        <v>0</v>
      </c>
      <c r="Y103" s="19">
        <f t="shared" si="20"/>
        <v>0</v>
      </c>
    </row>
    <row r="104" spans="1:25" x14ac:dyDescent="0.25">
      <c r="A104" s="209" t="s">
        <v>221</v>
      </c>
      <c r="B104" s="209"/>
      <c r="C104" s="210"/>
      <c r="D104" s="210"/>
      <c r="E104" s="210"/>
      <c r="F104" s="210"/>
      <c r="G104" s="210"/>
      <c r="H104" s="210"/>
      <c r="I104" s="210"/>
      <c r="J104" s="209"/>
      <c r="K104" s="209"/>
      <c r="L104" s="209"/>
      <c r="M104" s="209"/>
      <c r="N104" s="209"/>
      <c r="O104" s="209"/>
      <c r="P104" s="209"/>
      <c r="Q104" s="209"/>
      <c r="R104" s="209"/>
      <c r="S104" s="209"/>
      <c r="T104" s="209"/>
      <c r="U104" s="209"/>
      <c r="X104" s="19">
        <f t="shared" si="19"/>
        <v>0</v>
      </c>
      <c r="Y104" s="19">
        <f t="shared" si="20"/>
        <v>0</v>
      </c>
    </row>
    <row r="105" spans="1:25" ht="157.5" x14ac:dyDescent="0.25">
      <c r="A105" s="196" t="s">
        <v>220</v>
      </c>
      <c r="B105" s="199" t="s">
        <v>219</v>
      </c>
      <c r="C105" s="170" t="s">
        <v>483</v>
      </c>
      <c r="D105" s="170" t="s">
        <v>484</v>
      </c>
      <c r="E105" s="170" t="s">
        <v>215</v>
      </c>
      <c r="F105" s="93">
        <v>26</v>
      </c>
      <c r="G105" s="135">
        <v>26</v>
      </c>
      <c r="H105" s="172">
        <f t="shared" ref="H105:H112" si="24">G105/F105</f>
        <v>1</v>
      </c>
      <c r="I105" s="33" t="s">
        <v>699</v>
      </c>
      <c r="J105" s="172">
        <f t="shared" ref="J105:J112" si="25">H105</f>
        <v>1</v>
      </c>
      <c r="K105" s="182">
        <v>104</v>
      </c>
      <c r="L105" s="175">
        <f>4+26+26+G105</f>
        <v>82</v>
      </c>
      <c r="M105" s="172">
        <f t="shared" ref="M105:M112" si="26">L105/K105</f>
        <v>0.78846153846153844</v>
      </c>
      <c r="N105" s="182">
        <v>0</v>
      </c>
      <c r="O105" s="195">
        <v>4838000563</v>
      </c>
      <c r="P105" s="194">
        <v>4696509559.3999996</v>
      </c>
      <c r="Q105" s="234">
        <f>P105/O105</f>
        <v>0.9707542399473672</v>
      </c>
      <c r="R105" s="195">
        <v>19352002251</v>
      </c>
      <c r="S105" s="194">
        <v>18864975585.799999</v>
      </c>
      <c r="T105" s="197">
        <f>S105/R105</f>
        <v>0.97483326743749044</v>
      </c>
      <c r="U105" s="61"/>
      <c r="X105" s="19">
        <f t="shared" si="19"/>
        <v>19352002251</v>
      </c>
      <c r="Y105" s="19">
        <f t="shared" si="20"/>
        <v>4696509559.3999996</v>
      </c>
    </row>
    <row r="106" spans="1:25" ht="50.1" customHeight="1" x14ac:dyDescent="0.25">
      <c r="A106" s="196"/>
      <c r="B106" s="199"/>
      <c r="C106" s="201" t="s">
        <v>218</v>
      </c>
      <c r="D106" s="170" t="s">
        <v>485</v>
      </c>
      <c r="E106" s="170" t="s">
        <v>215</v>
      </c>
      <c r="F106" s="93">
        <v>26</v>
      </c>
      <c r="G106" s="135">
        <v>26</v>
      </c>
      <c r="H106" s="172">
        <f t="shared" si="24"/>
        <v>1</v>
      </c>
      <c r="I106" s="70" t="s">
        <v>700</v>
      </c>
      <c r="J106" s="172">
        <f t="shared" si="25"/>
        <v>1</v>
      </c>
      <c r="K106" s="182">
        <v>104</v>
      </c>
      <c r="L106" s="182">
        <f>(16+26+26+G106)</f>
        <v>94</v>
      </c>
      <c r="M106" s="172">
        <f t="shared" si="26"/>
        <v>0.90384615384615385</v>
      </c>
      <c r="N106" s="182"/>
      <c r="O106" s="195"/>
      <c r="P106" s="194"/>
      <c r="Q106" s="234"/>
      <c r="R106" s="195"/>
      <c r="S106" s="194"/>
      <c r="T106" s="197"/>
      <c r="U106" s="61"/>
      <c r="X106" s="19"/>
      <c r="Y106" s="19"/>
    </row>
    <row r="107" spans="1:25" ht="50.1" customHeight="1" x14ac:dyDescent="0.25">
      <c r="A107" s="196"/>
      <c r="B107" s="199"/>
      <c r="C107" s="201"/>
      <c r="D107" s="170" t="s">
        <v>486</v>
      </c>
      <c r="E107" s="170" t="s">
        <v>53</v>
      </c>
      <c r="F107" s="98">
        <v>1</v>
      </c>
      <c r="G107" s="136">
        <v>1</v>
      </c>
      <c r="H107" s="172">
        <f t="shared" si="24"/>
        <v>1</v>
      </c>
      <c r="I107" s="72" t="s">
        <v>632</v>
      </c>
      <c r="J107" s="172">
        <f t="shared" si="25"/>
        <v>1</v>
      </c>
      <c r="K107" s="171">
        <v>1</v>
      </c>
      <c r="L107" s="171">
        <f>(100%+100%+100%+G107)/4</f>
        <v>1</v>
      </c>
      <c r="M107" s="172">
        <f t="shared" si="26"/>
        <v>1</v>
      </c>
      <c r="N107" s="182">
        <v>0</v>
      </c>
      <c r="O107" s="195"/>
      <c r="P107" s="194"/>
      <c r="Q107" s="234"/>
      <c r="R107" s="195"/>
      <c r="S107" s="194"/>
      <c r="T107" s="197"/>
      <c r="U107" s="61"/>
      <c r="X107" s="19">
        <f t="shared" si="19"/>
        <v>0</v>
      </c>
      <c r="Y107" s="19">
        <f t="shared" si="20"/>
        <v>0</v>
      </c>
    </row>
    <row r="108" spans="1:25" ht="45" customHeight="1" x14ac:dyDescent="0.25">
      <c r="A108" s="196"/>
      <c r="B108" s="199" t="s">
        <v>217</v>
      </c>
      <c r="C108" s="201" t="s">
        <v>487</v>
      </c>
      <c r="D108" s="170" t="s">
        <v>488</v>
      </c>
      <c r="E108" s="37" t="s">
        <v>53</v>
      </c>
      <c r="F108" s="99">
        <v>1</v>
      </c>
      <c r="G108" s="129">
        <v>1</v>
      </c>
      <c r="H108" s="172">
        <f t="shared" si="24"/>
        <v>1</v>
      </c>
      <c r="I108" s="204" t="s">
        <v>701</v>
      </c>
      <c r="J108" s="172">
        <f t="shared" si="25"/>
        <v>1</v>
      </c>
      <c r="K108" s="171">
        <v>1</v>
      </c>
      <c r="L108" s="171">
        <f>(100%+100%+100%+G108)/4</f>
        <v>1</v>
      </c>
      <c r="M108" s="172">
        <f t="shared" si="26"/>
        <v>1</v>
      </c>
      <c r="N108" s="182">
        <v>0</v>
      </c>
      <c r="O108" s="195"/>
      <c r="P108" s="194"/>
      <c r="Q108" s="234"/>
      <c r="R108" s="195"/>
      <c r="S108" s="194"/>
      <c r="T108" s="197"/>
      <c r="U108" s="61"/>
      <c r="X108" s="19">
        <f t="shared" si="19"/>
        <v>0</v>
      </c>
      <c r="Y108" s="19">
        <f t="shared" si="20"/>
        <v>0</v>
      </c>
    </row>
    <row r="109" spans="1:25" ht="22.5" x14ac:dyDescent="0.25">
      <c r="A109" s="196"/>
      <c r="B109" s="199"/>
      <c r="C109" s="201"/>
      <c r="D109" s="170" t="s">
        <v>216</v>
      </c>
      <c r="E109" s="37" t="s">
        <v>53</v>
      </c>
      <c r="F109" s="94">
        <v>1</v>
      </c>
      <c r="G109" s="129">
        <v>1</v>
      </c>
      <c r="H109" s="172">
        <f t="shared" si="24"/>
        <v>1</v>
      </c>
      <c r="I109" s="205"/>
      <c r="J109" s="172">
        <f t="shared" si="25"/>
        <v>1</v>
      </c>
      <c r="K109" s="171">
        <v>1</v>
      </c>
      <c r="L109" s="171">
        <f>(100%+100%+100%+G109)/4</f>
        <v>1</v>
      </c>
      <c r="M109" s="172">
        <f t="shared" si="26"/>
        <v>1</v>
      </c>
      <c r="N109" s="182">
        <v>0</v>
      </c>
      <c r="O109" s="195"/>
      <c r="P109" s="194"/>
      <c r="Q109" s="234"/>
      <c r="R109" s="195"/>
      <c r="S109" s="194"/>
      <c r="T109" s="197"/>
      <c r="U109" s="61"/>
      <c r="X109" s="19">
        <f t="shared" si="19"/>
        <v>0</v>
      </c>
      <c r="Y109" s="19">
        <f t="shared" si="20"/>
        <v>0</v>
      </c>
    </row>
    <row r="110" spans="1:25" ht="101.25" x14ac:dyDescent="0.25">
      <c r="A110" s="196"/>
      <c r="B110" s="199"/>
      <c r="C110" s="170" t="s">
        <v>489</v>
      </c>
      <c r="D110" s="170" t="s">
        <v>490</v>
      </c>
      <c r="E110" s="37" t="s">
        <v>4</v>
      </c>
      <c r="F110" s="93">
        <v>4</v>
      </c>
      <c r="G110" s="135">
        <v>4</v>
      </c>
      <c r="H110" s="172">
        <f t="shared" si="24"/>
        <v>1</v>
      </c>
      <c r="I110" s="33" t="s">
        <v>702</v>
      </c>
      <c r="J110" s="172">
        <f t="shared" si="25"/>
        <v>1</v>
      </c>
      <c r="K110" s="182">
        <v>16</v>
      </c>
      <c r="L110" s="175">
        <f>(4+4+4+G110)</f>
        <v>16</v>
      </c>
      <c r="M110" s="172">
        <f t="shared" si="26"/>
        <v>1</v>
      </c>
      <c r="N110" s="182">
        <v>0</v>
      </c>
      <c r="O110" s="195"/>
      <c r="P110" s="194"/>
      <c r="Q110" s="234"/>
      <c r="R110" s="195"/>
      <c r="S110" s="194"/>
      <c r="T110" s="197"/>
      <c r="U110" s="61"/>
      <c r="X110" s="19">
        <f t="shared" si="19"/>
        <v>0</v>
      </c>
      <c r="Y110" s="19">
        <f t="shared" si="20"/>
        <v>0</v>
      </c>
    </row>
    <row r="111" spans="1:25" ht="146.25" x14ac:dyDescent="0.25">
      <c r="A111" s="196"/>
      <c r="B111" s="199"/>
      <c r="C111" s="170" t="s">
        <v>214</v>
      </c>
      <c r="D111" s="170" t="s">
        <v>213</v>
      </c>
      <c r="E111" s="37" t="s">
        <v>53</v>
      </c>
      <c r="F111" s="94">
        <v>1</v>
      </c>
      <c r="G111" s="129">
        <v>1</v>
      </c>
      <c r="H111" s="172">
        <f t="shared" si="24"/>
        <v>1</v>
      </c>
      <c r="I111" s="33" t="s">
        <v>703</v>
      </c>
      <c r="J111" s="172">
        <f t="shared" si="25"/>
        <v>1</v>
      </c>
      <c r="K111" s="176">
        <v>1</v>
      </c>
      <c r="L111" s="185">
        <f>(100%+100%+100%+G111)/4</f>
        <v>1</v>
      </c>
      <c r="M111" s="172">
        <f t="shared" si="26"/>
        <v>1</v>
      </c>
      <c r="N111" s="182">
        <v>0</v>
      </c>
      <c r="O111" s="195"/>
      <c r="P111" s="194"/>
      <c r="Q111" s="234"/>
      <c r="R111" s="195"/>
      <c r="S111" s="194"/>
      <c r="T111" s="197"/>
      <c r="U111" s="61"/>
      <c r="X111" s="19">
        <f t="shared" si="19"/>
        <v>0</v>
      </c>
      <c r="Y111" s="19">
        <f t="shared" si="20"/>
        <v>0</v>
      </c>
    </row>
    <row r="112" spans="1:25" ht="33.75" x14ac:dyDescent="0.25">
      <c r="A112" s="196"/>
      <c r="B112" s="199"/>
      <c r="C112" s="170" t="s">
        <v>212</v>
      </c>
      <c r="D112" s="170" t="s">
        <v>211</v>
      </c>
      <c r="E112" s="37" t="s">
        <v>53</v>
      </c>
      <c r="F112" s="94">
        <v>1</v>
      </c>
      <c r="G112" s="129">
        <v>1</v>
      </c>
      <c r="H112" s="172">
        <f t="shared" si="24"/>
        <v>1</v>
      </c>
      <c r="I112" s="33" t="s">
        <v>704</v>
      </c>
      <c r="J112" s="172">
        <f t="shared" si="25"/>
        <v>1</v>
      </c>
      <c r="K112" s="176">
        <v>1</v>
      </c>
      <c r="L112" s="185">
        <f>(100%+100%+100%+G112)/4</f>
        <v>1</v>
      </c>
      <c r="M112" s="172">
        <f t="shared" si="26"/>
        <v>1</v>
      </c>
      <c r="N112" s="182">
        <v>0</v>
      </c>
      <c r="O112" s="195"/>
      <c r="P112" s="194"/>
      <c r="Q112" s="234"/>
      <c r="R112" s="195"/>
      <c r="S112" s="194"/>
      <c r="T112" s="197"/>
      <c r="U112" s="61"/>
      <c r="X112" s="19">
        <f t="shared" si="19"/>
        <v>0</v>
      </c>
      <c r="Y112" s="19">
        <f t="shared" si="20"/>
        <v>0</v>
      </c>
    </row>
    <row r="113" spans="1:26" x14ac:dyDescent="0.25">
      <c r="A113" s="198" t="s">
        <v>210</v>
      </c>
      <c r="B113" s="198"/>
      <c r="C113" s="198"/>
      <c r="D113" s="198"/>
      <c r="E113" s="198"/>
      <c r="F113" s="198"/>
      <c r="G113" s="198"/>
      <c r="H113" s="198"/>
      <c r="I113" s="198"/>
      <c r="J113" s="198"/>
      <c r="K113" s="198"/>
      <c r="L113" s="198"/>
      <c r="M113" s="198"/>
      <c r="N113" s="198"/>
      <c r="O113" s="198"/>
      <c r="P113" s="198"/>
      <c r="Q113" s="198"/>
      <c r="R113" s="198"/>
      <c r="S113" s="198"/>
      <c r="T113" s="198"/>
      <c r="U113" s="198"/>
      <c r="X113" s="14" t="s">
        <v>443</v>
      </c>
      <c r="Y113" s="14" t="s">
        <v>442</v>
      </c>
    </row>
    <row r="114" spans="1:26" x14ac:dyDescent="0.25">
      <c r="A114" s="198" t="s">
        <v>209</v>
      </c>
      <c r="B114" s="198"/>
      <c r="C114" s="198"/>
      <c r="D114" s="198"/>
      <c r="E114" s="198"/>
      <c r="F114" s="198"/>
      <c r="G114" s="198"/>
      <c r="H114" s="198"/>
      <c r="I114" s="198"/>
      <c r="J114" s="198"/>
      <c r="K114" s="198"/>
      <c r="L114" s="198"/>
      <c r="M114" s="198"/>
      <c r="N114" s="198"/>
      <c r="O114" s="198"/>
      <c r="P114" s="198"/>
      <c r="Q114" s="198"/>
      <c r="R114" s="198"/>
      <c r="S114" s="198"/>
      <c r="T114" s="198"/>
      <c r="U114" s="198"/>
      <c r="W114" s="20">
        <f>+X114+X119+X128+X133</f>
        <v>30634585800</v>
      </c>
      <c r="X114" s="20">
        <f t="shared" ref="X114:X138" si="27">+R115</f>
        <v>5723646450</v>
      </c>
      <c r="Y114" s="20">
        <f t="shared" ref="Y114:Y138" si="28">+P115</f>
        <v>1824867000.96</v>
      </c>
      <c r="Z114" s="20">
        <f>+Y114+Y119+Y128+Y133</f>
        <v>7603612503.999999</v>
      </c>
    </row>
    <row r="115" spans="1:26" ht="22.5" x14ac:dyDescent="0.25">
      <c r="A115" s="242" t="s">
        <v>208</v>
      </c>
      <c r="B115" s="199" t="s">
        <v>207</v>
      </c>
      <c r="C115" s="201" t="s">
        <v>206</v>
      </c>
      <c r="D115" s="170" t="s">
        <v>205</v>
      </c>
      <c r="E115" s="170" t="s">
        <v>204</v>
      </c>
      <c r="F115" s="87" t="s">
        <v>572</v>
      </c>
      <c r="G115" s="140" t="s">
        <v>571</v>
      </c>
      <c r="H115" s="172" t="s">
        <v>572</v>
      </c>
      <c r="I115" s="53" t="s">
        <v>572</v>
      </c>
      <c r="J115" s="172" t="str">
        <f>H115</f>
        <v>NP</v>
      </c>
      <c r="K115" s="182">
        <f>[1]linea4!F8+[1]linea4!I8+[1]linea4!L8+[1]linea4!O8</f>
        <v>26</v>
      </c>
      <c r="L115" s="138">
        <v>26</v>
      </c>
      <c r="M115" s="172">
        <f>L115/K115</f>
        <v>1</v>
      </c>
      <c r="N115" s="183">
        <v>0</v>
      </c>
      <c r="O115" s="195">
        <v>1430911613</v>
      </c>
      <c r="P115" s="194">
        <v>1824867000.96</v>
      </c>
      <c r="Q115" s="197">
        <f>P115/O115</f>
        <v>1.2753177655285408</v>
      </c>
      <c r="R115" s="195">
        <v>5723646450</v>
      </c>
      <c r="S115" s="194">
        <v>5615178973.96</v>
      </c>
      <c r="T115" s="234">
        <f>S115/R115</f>
        <v>0.98104923548518619</v>
      </c>
      <c r="U115" s="61"/>
      <c r="X115" s="20">
        <f t="shared" si="27"/>
        <v>0</v>
      </c>
      <c r="Y115" s="20">
        <f t="shared" si="28"/>
        <v>0</v>
      </c>
    </row>
    <row r="116" spans="1:26" ht="22.5" x14ac:dyDescent="0.25">
      <c r="A116" s="242"/>
      <c r="B116" s="199"/>
      <c r="C116" s="201"/>
      <c r="D116" s="170" t="s">
        <v>203</v>
      </c>
      <c r="E116" s="170" t="s">
        <v>193</v>
      </c>
      <c r="F116" s="94">
        <v>1</v>
      </c>
      <c r="G116" s="140">
        <v>1</v>
      </c>
      <c r="H116" s="172">
        <f>G116/F116</f>
        <v>1</v>
      </c>
      <c r="I116" s="53" t="s">
        <v>649</v>
      </c>
      <c r="J116" s="172">
        <f>H116</f>
        <v>1</v>
      </c>
      <c r="K116" s="171">
        <v>1</v>
      </c>
      <c r="L116" s="27">
        <f>(100%+100%+G116)/3</f>
        <v>1</v>
      </c>
      <c r="M116" s="172">
        <f>L116/K116</f>
        <v>1</v>
      </c>
      <c r="N116" s="182">
        <v>0</v>
      </c>
      <c r="O116" s="195"/>
      <c r="P116" s="194"/>
      <c r="Q116" s="197"/>
      <c r="R116" s="195"/>
      <c r="S116" s="194"/>
      <c r="T116" s="234"/>
      <c r="U116" s="61"/>
      <c r="X116" s="20">
        <f t="shared" si="27"/>
        <v>0</v>
      </c>
      <c r="Y116" s="20">
        <f t="shared" si="28"/>
        <v>0</v>
      </c>
    </row>
    <row r="117" spans="1:26" ht="78.75" x14ac:dyDescent="0.25">
      <c r="A117" s="242"/>
      <c r="B117" s="199" t="s">
        <v>52</v>
      </c>
      <c r="C117" s="170" t="s">
        <v>202</v>
      </c>
      <c r="D117" s="170" t="s">
        <v>201</v>
      </c>
      <c r="E117" s="170" t="s">
        <v>193</v>
      </c>
      <c r="F117" s="94">
        <v>1</v>
      </c>
      <c r="G117" s="140">
        <v>0.86</v>
      </c>
      <c r="H117" s="172">
        <f>G117/F117</f>
        <v>0.86</v>
      </c>
      <c r="I117" s="53" t="s">
        <v>705</v>
      </c>
      <c r="J117" s="172">
        <f>H117</f>
        <v>0.86</v>
      </c>
      <c r="K117" s="185">
        <f>([1]linea4!F10+[1]linea4!I10+[1]linea4!L10+[1]linea4!O10)/3</f>
        <v>1</v>
      </c>
      <c r="L117" s="131">
        <f>(100%+100%+G117)/3</f>
        <v>0.95333333333333325</v>
      </c>
      <c r="M117" s="172">
        <f>L117/K117</f>
        <v>0.95333333333333325</v>
      </c>
      <c r="N117" s="182">
        <v>0</v>
      </c>
      <c r="O117" s="195"/>
      <c r="P117" s="194"/>
      <c r="Q117" s="197"/>
      <c r="R117" s="195"/>
      <c r="S117" s="194"/>
      <c r="T117" s="234"/>
      <c r="U117" s="61"/>
      <c r="X117" s="20">
        <f>+R119</f>
        <v>0</v>
      </c>
      <c r="Y117" s="20">
        <f>+P119</f>
        <v>0</v>
      </c>
    </row>
    <row r="118" spans="1:26" ht="112.5" x14ac:dyDescent="0.25">
      <c r="A118" s="242"/>
      <c r="B118" s="199"/>
      <c r="C118" s="170" t="s">
        <v>491</v>
      </c>
      <c r="D118" s="170" t="s">
        <v>593</v>
      </c>
      <c r="E118" s="170" t="s">
        <v>707</v>
      </c>
      <c r="F118" s="93">
        <v>1</v>
      </c>
      <c r="G118" s="137">
        <v>1</v>
      </c>
      <c r="H118" s="172">
        <f>G118/F118</f>
        <v>1</v>
      </c>
      <c r="I118" s="53" t="s">
        <v>706</v>
      </c>
      <c r="J118" s="172">
        <f>H118</f>
        <v>1</v>
      </c>
      <c r="K118" s="139">
        <v>2</v>
      </c>
      <c r="L118" s="139">
        <f>+G118+1</f>
        <v>2</v>
      </c>
      <c r="M118" s="171">
        <f>L118/K118</f>
        <v>1</v>
      </c>
      <c r="N118" s="182"/>
      <c r="O118" s="195"/>
      <c r="P118" s="194"/>
      <c r="Q118" s="197"/>
      <c r="R118" s="195"/>
      <c r="S118" s="194"/>
      <c r="T118" s="234"/>
      <c r="U118" s="61"/>
      <c r="X118" s="20"/>
      <c r="Y118" s="20"/>
    </row>
    <row r="119" spans="1:26" x14ac:dyDescent="0.25">
      <c r="A119" s="198" t="s">
        <v>200</v>
      </c>
      <c r="B119" s="198"/>
      <c r="C119" s="198"/>
      <c r="D119" s="198"/>
      <c r="E119" s="198"/>
      <c r="F119" s="198"/>
      <c r="G119" s="198"/>
      <c r="H119" s="198"/>
      <c r="I119" s="198"/>
      <c r="J119" s="198"/>
      <c r="K119" s="198"/>
      <c r="L119" s="198"/>
      <c r="M119" s="198"/>
      <c r="N119" s="198"/>
      <c r="O119" s="198"/>
      <c r="P119" s="198"/>
      <c r="Q119" s="198"/>
      <c r="R119" s="198"/>
      <c r="S119" s="198"/>
      <c r="T119" s="198"/>
      <c r="U119" s="198"/>
      <c r="X119" s="20">
        <f t="shared" si="27"/>
        <v>10528646450</v>
      </c>
      <c r="Y119" s="20">
        <f t="shared" si="28"/>
        <v>3193517251.6799998</v>
      </c>
    </row>
    <row r="120" spans="1:26" ht="56.25" x14ac:dyDescent="0.25">
      <c r="A120" s="242" t="s">
        <v>199</v>
      </c>
      <c r="B120" s="199" t="s">
        <v>198</v>
      </c>
      <c r="C120" s="170" t="s">
        <v>197</v>
      </c>
      <c r="D120" s="170" t="s">
        <v>196</v>
      </c>
      <c r="E120" s="170" t="s">
        <v>195</v>
      </c>
      <c r="F120" s="87" t="s">
        <v>572</v>
      </c>
      <c r="G120" s="140" t="s">
        <v>571</v>
      </c>
      <c r="H120" s="172" t="s">
        <v>572</v>
      </c>
      <c r="I120" s="53" t="s">
        <v>708</v>
      </c>
      <c r="J120" s="27" t="str">
        <f t="shared" ref="J120:J127" si="29">H120</f>
        <v>NP</v>
      </c>
      <c r="K120" s="182">
        <f>[1]linea4!F14+[1]linea4!I14+[1]linea4!L14+[1]linea4!O14</f>
        <v>1</v>
      </c>
      <c r="L120" s="182">
        <v>1</v>
      </c>
      <c r="M120" s="172">
        <f t="shared" ref="M120:M132" si="30">L120/K120</f>
        <v>1</v>
      </c>
      <c r="N120" s="182">
        <v>0</v>
      </c>
      <c r="O120" s="195">
        <v>2632161613</v>
      </c>
      <c r="P120" s="194">
        <v>3193517251.6799998</v>
      </c>
      <c r="Q120" s="197">
        <f>P120/O120</f>
        <v>1.213267922420689</v>
      </c>
      <c r="R120" s="195">
        <v>10528646450</v>
      </c>
      <c r="S120" s="194">
        <v>10643638244.68</v>
      </c>
      <c r="T120" s="197">
        <f>S120/R120</f>
        <v>1.0109218022683248</v>
      </c>
      <c r="U120" s="61"/>
      <c r="X120" s="20">
        <f t="shared" si="27"/>
        <v>0</v>
      </c>
      <c r="Y120" s="20">
        <f t="shared" si="28"/>
        <v>0</v>
      </c>
    </row>
    <row r="121" spans="1:26" ht="101.25" x14ac:dyDescent="0.25">
      <c r="A121" s="242"/>
      <c r="B121" s="199"/>
      <c r="C121" s="170" t="s">
        <v>194</v>
      </c>
      <c r="D121" s="170" t="s">
        <v>492</v>
      </c>
      <c r="E121" s="170" t="s">
        <v>53</v>
      </c>
      <c r="F121" s="94">
        <v>1</v>
      </c>
      <c r="G121" s="140">
        <v>1</v>
      </c>
      <c r="H121" s="172">
        <f>G121/F121</f>
        <v>1</v>
      </c>
      <c r="I121" s="53" t="s">
        <v>709</v>
      </c>
      <c r="J121" s="27">
        <f t="shared" si="29"/>
        <v>1</v>
      </c>
      <c r="K121" s="185">
        <v>1</v>
      </c>
      <c r="L121" s="27">
        <f>(100%+100%+100%+G121)/4</f>
        <v>1</v>
      </c>
      <c r="M121" s="172">
        <f t="shared" si="30"/>
        <v>1</v>
      </c>
      <c r="N121" s="182">
        <v>0</v>
      </c>
      <c r="O121" s="195"/>
      <c r="P121" s="194"/>
      <c r="Q121" s="197"/>
      <c r="R121" s="195"/>
      <c r="S121" s="194"/>
      <c r="T121" s="197"/>
      <c r="U121" s="61"/>
      <c r="X121" s="20">
        <f t="shared" si="27"/>
        <v>0</v>
      </c>
      <c r="Y121" s="20">
        <f t="shared" si="28"/>
        <v>0</v>
      </c>
    </row>
    <row r="122" spans="1:26" ht="22.5" x14ac:dyDescent="0.25">
      <c r="A122" s="242"/>
      <c r="B122" s="199" t="s">
        <v>192</v>
      </c>
      <c r="C122" s="211" t="s">
        <v>594</v>
      </c>
      <c r="D122" s="178" t="s">
        <v>191</v>
      </c>
      <c r="E122" s="170" t="s">
        <v>190</v>
      </c>
      <c r="F122" s="100">
        <v>1</v>
      </c>
      <c r="G122" s="141">
        <v>1</v>
      </c>
      <c r="H122" s="172">
        <f>G122/F122</f>
        <v>1</v>
      </c>
      <c r="I122" s="53" t="s">
        <v>710</v>
      </c>
      <c r="J122" s="27">
        <f t="shared" si="29"/>
        <v>1</v>
      </c>
      <c r="K122" s="110">
        <v>5</v>
      </c>
      <c r="L122" s="138">
        <f>1+3+G122</f>
        <v>5</v>
      </c>
      <c r="M122" s="172">
        <f t="shared" si="30"/>
        <v>1</v>
      </c>
      <c r="N122" s="182">
        <v>0</v>
      </c>
      <c r="O122" s="195"/>
      <c r="P122" s="194"/>
      <c r="Q122" s="197"/>
      <c r="R122" s="195"/>
      <c r="S122" s="194"/>
      <c r="T122" s="197"/>
      <c r="U122" s="61"/>
      <c r="X122" s="20">
        <f t="shared" si="27"/>
        <v>0</v>
      </c>
      <c r="Y122" s="20">
        <f t="shared" si="28"/>
        <v>0</v>
      </c>
    </row>
    <row r="123" spans="1:26" ht="56.25" x14ac:dyDescent="0.25">
      <c r="A123" s="242"/>
      <c r="B123" s="199"/>
      <c r="C123" s="211"/>
      <c r="D123" s="178" t="s">
        <v>189</v>
      </c>
      <c r="E123" s="170" t="s">
        <v>188</v>
      </c>
      <c r="F123" s="101" t="s">
        <v>572</v>
      </c>
      <c r="G123" s="141" t="s">
        <v>572</v>
      </c>
      <c r="H123" s="172" t="s">
        <v>572</v>
      </c>
      <c r="I123" s="53" t="s">
        <v>711</v>
      </c>
      <c r="J123" s="27" t="str">
        <f t="shared" si="29"/>
        <v>NP</v>
      </c>
      <c r="K123" s="110">
        <v>45</v>
      </c>
      <c r="L123" s="142">
        <f>15+25+5</f>
        <v>45</v>
      </c>
      <c r="M123" s="172">
        <f t="shared" si="30"/>
        <v>1</v>
      </c>
      <c r="N123" s="182">
        <v>0</v>
      </c>
      <c r="O123" s="195"/>
      <c r="P123" s="194"/>
      <c r="Q123" s="197"/>
      <c r="R123" s="195"/>
      <c r="S123" s="194"/>
      <c r="T123" s="197"/>
      <c r="U123" s="61"/>
      <c r="X123" s="20">
        <f t="shared" si="27"/>
        <v>0</v>
      </c>
      <c r="Y123" s="20">
        <f t="shared" si="28"/>
        <v>0</v>
      </c>
    </row>
    <row r="124" spans="1:26" ht="90" x14ac:dyDescent="0.25">
      <c r="A124" s="242"/>
      <c r="B124" s="199"/>
      <c r="C124" s="178" t="s">
        <v>783</v>
      </c>
      <c r="D124" s="170" t="s">
        <v>6</v>
      </c>
      <c r="E124" s="170" t="s">
        <v>187</v>
      </c>
      <c r="F124" s="100">
        <v>10</v>
      </c>
      <c r="G124" s="141">
        <v>25</v>
      </c>
      <c r="H124" s="172">
        <v>1</v>
      </c>
      <c r="I124" s="53" t="s">
        <v>633</v>
      </c>
      <c r="J124" s="27">
        <f t="shared" si="29"/>
        <v>1</v>
      </c>
      <c r="K124" s="110">
        <v>80</v>
      </c>
      <c r="L124" s="165">
        <f>11+21+23+G124</f>
        <v>80</v>
      </c>
      <c r="M124" s="172">
        <f t="shared" si="30"/>
        <v>1</v>
      </c>
      <c r="N124" s="182">
        <v>0</v>
      </c>
      <c r="O124" s="195"/>
      <c r="P124" s="194"/>
      <c r="Q124" s="197"/>
      <c r="R124" s="195"/>
      <c r="S124" s="194"/>
      <c r="T124" s="197"/>
      <c r="U124" s="61"/>
      <c r="X124" s="20">
        <f t="shared" si="27"/>
        <v>0</v>
      </c>
      <c r="Y124" s="20">
        <f t="shared" si="28"/>
        <v>0</v>
      </c>
    </row>
    <row r="125" spans="1:26" ht="45" x14ac:dyDescent="0.25">
      <c r="A125" s="242"/>
      <c r="B125" s="199"/>
      <c r="C125" s="178" t="s">
        <v>186</v>
      </c>
      <c r="D125" s="170" t="s">
        <v>185</v>
      </c>
      <c r="E125" s="170" t="s">
        <v>184</v>
      </c>
      <c r="F125" s="100">
        <v>2000</v>
      </c>
      <c r="G125" s="141">
        <v>2000</v>
      </c>
      <c r="H125" s="172">
        <f>G125/F125</f>
        <v>1</v>
      </c>
      <c r="I125" s="53" t="s">
        <v>712</v>
      </c>
      <c r="J125" s="27">
        <f t="shared" si="29"/>
        <v>1</v>
      </c>
      <c r="K125" s="110">
        <f>[1]linea4!F19+[1]linea4!I19+[1]linea4!L19+[1]linea4!O19</f>
        <v>7000</v>
      </c>
      <c r="L125" s="138">
        <f>500+3471+1630+G125+1000</f>
        <v>8601</v>
      </c>
      <c r="M125" s="172">
        <f t="shared" si="30"/>
        <v>1.2287142857142856</v>
      </c>
      <c r="N125" s="182">
        <v>0</v>
      </c>
      <c r="O125" s="195"/>
      <c r="P125" s="194"/>
      <c r="Q125" s="197"/>
      <c r="R125" s="195"/>
      <c r="S125" s="194"/>
      <c r="T125" s="197"/>
      <c r="U125" s="61"/>
      <c r="X125" s="20">
        <f t="shared" si="27"/>
        <v>0</v>
      </c>
      <c r="Y125" s="20">
        <f t="shared" si="28"/>
        <v>0</v>
      </c>
    </row>
    <row r="126" spans="1:26" ht="67.5" x14ac:dyDescent="0.25">
      <c r="A126" s="242"/>
      <c r="B126" s="199"/>
      <c r="C126" s="178" t="s">
        <v>183</v>
      </c>
      <c r="D126" s="170" t="s">
        <v>182</v>
      </c>
      <c r="E126" s="170" t="s">
        <v>181</v>
      </c>
      <c r="F126" s="100">
        <v>6</v>
      </c>
      <c r="G126" s="141">
        <v>6</v>
      </c>
      <c r="H126" s="172">
        <f>G126/F126</f>
        <v>1</v>
      </c>
      <c r="I126" s="53" t="s">
        <v>713</v>
      </c>
      <c r="J126" s="27">
        <f t="shared" si="29"/>
        <v>1</v>
      </c>
      <c r="K126" s="110">
        <f>[1]linea4!F20+[1]linea4!I20+[1]linea4!L20+[1]linea4!O20</f>
        <v>26</v>
      </c>
      <c r="L126" s="138">
        <v>26</v>
      </c>
      <c r="M126" s="172">
        <f t="shared" si="30"/>
        <v>1</v>
      </c>
      <c r="N126" s="182">
        <v>0</v>
      </c>
      <c r="O126" s="195"/>
      <c r="P126" s="194"/>
      <c r="Q126" s="197"/>
      <c r="R126" s="195"/>
      <c r="S126" s="194"/>
      <c r="T126" s="197"/>
      <c r="U126" s="61"/>
      <c r="X126" s="20">
        <f t="shared" si="27"/>
        <v>0</v>
      </c>
      <c r="Y126" s="20">
        <f t="shared" si="28"/>
        <v>0</v>
      </c>
    </row>
    <row r="127" spans="1:26" ht="78.75" x14ac:dyDescent="0.25">
      <c r="A127" s="242"/>
      <c r="B127" s="199"/>
      <c r="C127" s="178" t="s">
        <v>180</v>
      </c>
      <c r="D127" s="170" t="s">
        <v>179</v>
      </c>
      <c r="E127" s="170" t="s">
        <v>452</v>
      </c>
      <c r="F127" s="100">
        <v>1</v>
      </c>
      <c r="G127" s="141" t="s">
        <v>573</v>
      </c>
      <c r="H127" s="172" t="s">
        <v>573</v>
      </c>
      <c r="I127" s="53" t="s">
        <v>714</v>
      </c>
      <c r="J127" s="27" t="str">
        <f t="shared" si="29"/>
        <v>NA</v>
      </c>
      <c r="K127" s="110">
        <f>[1]linea4!F21+[1]linea4!I21+[1]linea4!L21+[1]linea4!O21</f>
        <v>3</v>
      </c>
      <c r="L127" s="132">
        <v>3</v>
      </c>
      <c r="M127" s="172">
        <f t="shared" si="30"/>
        <v>1</v>
      </c>
      <c r="N127" s="182">
        <v>0</v>
      </c>
      <c r="O127" s="195"/>
      <c r="P127" s="194"/>
      <c r="Q127" s="197"/>
      <c r="R127" s="195"/>
      <c r="S127" s="194"/>
      <c r="T127" s="197"/>
      <c r="U127" s="61"/>
      <c r="X127" s="20">
        <f t="shared" si="27"/>
        <v>0</v>
      </c>
      <c r="Y127" s="20">
        <f t="shared" si="28"/>
        <v>0</v>
      </c>
    </row>
    <row r="128" spans="1:26" x14ac:dyDescent="0.25">
      <c r="A128" s="198" t="s">
        <v>178</v>
      </c>
      <c r="B128" s="198"/>
      <c r="C128" s="198"/>
      <c r="D128" s="198"/>
      <c r="E128" s="198"/>
      <c r="F128" s="198"/>
      <c r="G128" s="198"/>
      <c r="H128" s="198"/>
      <c r="I128" s="198"/>
      <c r="J128" s="198"/>
      <c r="K128" s="198"/>
      <c r="L128" s="198"/>
      <c r="M128" s="198"/>
      <c r="N128" s="198"/>
      <c r="O128" s="198"/>
      <c r="P128" s="198"/>
      <c r="Q128" s="198"/>
      <c r="R128" s="198"/>
      <c r="S128" s="198"/>
      <c r="T128" s="198"/>
      <c r="U128" s="198"/>
      <c r="X128" s="20">
        <f t="shared" si="27"/>
        <v>9923646450</v>
      </c>
      <c r="Y128" s="20">
        <f t="shared" si="28"/>
        <v>1824867000.96</v>
      </c>
    </row>
    <row r="129" spans="1:26" ht="45" x14ac:dyDescent="0.25">
      <c r="A129" s="242" t="s">
        <v>177</v>
      </c>
      <c r="B129" s="199" t="s">
        <v>176</v>
      </c>
      <c r="C129" s="170" t="s">
        <v>493</v>
      </c>
      <c r="D129" s="170" t="s">
        <v>494</v>
      </c>
      <c r="E129" s="170" t="s">
        <v>53</v>
      </c>
      <c r="F129" s="102">
        <v>1</v>
      </c>
      <c r="G129" s="143">
        <v>1</v>
      </c>
      <c r="H129" s="172">
        <f>G129/F129</f>
        <v>1</v>
      </c>
      <c r="I129" s="53" t="s">
        <v>634</v>
      </c>
      <c r="J129" s="172">
        <f>H129</f>
        <v>1</v>
      </c>
      <c r="K129" s="79">
        <v>1</v>
      </c>
      <c r="L129" s="79">
        <f>(100%+100%+100%+G129)/4</f>
        <v>1</v>
      </c>
      <c r="M129" s="36">
        <f t="shared" si="30"/>
        <v>1</v>
      </c>
      <c r="N129" s="182">
        <v>0</v>
      </c>
      <c r="O129" s="195">
        <v>1430911613</v>
      </c>
      <c r="P129" s="194">
        <v>1824867000.96</v>
      </c>
      <c r="Q129" s="197">
        <f>P129/O129</f>
        <v>1.2753177655285408</v>
      </c>
      <c r="R129" s="195">
        <v>9923646450</v>
      </c>
      <c r="S129" s="194">
        <v>6246183917.96</v>
      </c>
      <c r="T129" s="197">
        <f>S129/R129</f>
        <v>0.62942426953955011</v>
      </c>
      <c r="U129" s="55"/>
      <c r="X129" s="20">
        <f t="shared" si="27"/>
        <v>0</v>
      </c>
      <c r="Y129" s="20">
        <f t="shared" si="28"/>
        <v>0</v>
      </c>
    </row>
    <row r="130" spans="1:26" ht="56.25" x14ac:dyDescent="0.25">
      <c r="A130" s="242"/>
      <c r="B130" s="199"/>
      <c r="C130" s="178" t="s">
        <v>595</v>
      </c>
      <c r="D130" s="170" t="s">
        <v>495</v>
      </c>
      <c r="E130" s="170" t="s">
        <v>239</v>
      </c>
      <c r="F130" s="103">
        <v>607</v>
      </c>
      <c r="G130" s="144">
        <v>19</v>
      </c>
      <c r="H130" s="172">
        <f>G130/F130</f>
        <v>3.130148270181219E-2</v>
      </c>
      <c r="I130" s="53" t="s">
        <v>715</v>
      </c>
      <c r="J130" s="172">
        <f>H130</f>
        <v>3.130148270181219E-2</v>
      </c>
      <c r="K130" s="113">
        <v>2800</v>
      </c>
      <c r="L130" s="111">
        <f>782+1288+G130</f>
        <v>2089</v>
      </c>
      <c r="M130" s="36">
        <f t="shared" si="30"/>
        <v>0.74607142857142861</v>
      </c>
      <c r="N130" s="182">
        <v>0</v>
      </c>
      <c r="O130" s="195"/>
      <c r="P130" s="194"/>
      <c r="Q130" s="197"/>
      <c r="R130" s="195"/>
      <c r="S130" s="194"/>
      <c r="T130" s="197"/>
      <c r="U130" s="55"/>
      <c r="X130" s="20">
        <f t="shared" si="27"/>
        <v>0</v>
      </c>
      <c r="Y130" s="20">
        <f t="shared" si="28"/>
        <v>0</v>
      </c>
    </row>
    <row r="131" spans="1:26" ht="45.75" customHeight="1" x14ac:dyDescent="0.25">
      <c r="A131" s="242"/>
      <c r="B131" s="199"/>
      <c r="C131" s="170" t="s">
        <v>496</v>
      </c>
      <c r="D131" s="170" t="s">
        <v>497</v>
      </c>
      <c r="E131" s="170" t="s">
        <v>53</v>
      </c>
      <c r="F131" s="94">
        <v>0.25</v>
      </c>
      <c r="G131" s="145">
        <v>0.25</v>
      </c>
      <c r="H131" s="172">
        <f>G131/F131</f>
        <v>1</v>
      </c>
      <c r="I131" s="53" t="s">
        <v>716</v>
      </c>
      <c r="J131" s="172">
        <f>H131</f>
        <v>1</v>
      </c>
      <c r="K131" s="176">
        <f>[1]linea4!F27+[1]linea4!I27+[1]linea4!L27+[1]linea4!O27</f>
        <v>1</v>
      </c>
      <c r="L131" s="36">
        <v>1</v>
      </c>
      <c r="M131" s="36">
        <f t="shared" si="30"/>
        <v>1</v>
      </c>
      <c r="N131" s="182">
        <v>0</v>
      </c>
      <c r="O131" s="195"/>
      <c r="P131" s="194"/>
      <c r="Q131" s="197"/>
      <c r="R131" s="195"/>
      <c r="S131" s="194"/>
      <c r="T131" s="197"/>
      <c r="U131" s="63"/>
      <c r="X131" s="20" t="e">
        <f>+#REF!</f>
        <v>#REF!</v>
      </c>
      <c r="Y131" s="20" t="e">
        <f>+#REF!</f>
        <v>#REF!</v>
      </c>
    </row>
    <row r="132" spans="1:26" ht="44.25" customHeight="1" x14ac:dyDescent="0.25">
      <c r="A132" s="242"/>
      <c r="B132" s="199"/>
      <c r="C132" s="178" t="s">
        <v>596</v>
      </c>
      <c r="D132" s="170" t="s">
        <v>175</v>
      </c>
      <c r="E132" s="170" t="s">
        <v>152</v>
      </c>
      <c r="F132" s="101">
        <v>2610</v>
      </c>
      <c r="G132" s="144">
        <v>2610</v>
      </c>
      <c r="H132" s="172">
        <f>G132/F132</f>
        <v>1</v>
      </c>
      <c r="I132" s="53" t="s">
        <v>717</v>
      </c>
      <c r="J132" s="172">
        <f>H132</f>
        <v>1</v>
      </c>
      <c r="K132" s="113">
        <v>25000</v>
      </c>
      <c r="L132" s="111">
        <f>(19775+5923+G132)</f>
        <v>28308</v>
      </c>
      <c r="M132" s="36">
        <f t="shared" si="30"/>
        <v>1.13232</v>
      </c>
      <c r="N132" s="182">
        <v>0</v>
      </c>
      <c r="O132" s="195"/>
      <c r="P132" s="194"/>
      <c r="Q132" s="197"/>
      <c r="R132" s="195"/>
      <c r="S132" s="194"/>
      <c r="T132" s="197"/>
      <c r="U132" s="64"/>
      <c r="X132" s="20">
        <f t="shared" si="27"/>
        <v>0</v>
      </c>
      <c r="Y132" s="20">
        <f t="shared" si="28"/>
        <v>0</v>
      </c>
    </row>
    <row r="133" spans="1:26" x14ac:dyDescent="0.25">
      <c r="A133" s="198" t="s">
        <v>174</v>
      </c>
      <c r="B133" s="198"/>
      <c r="C133" s="198"/>
      <c r="D133" s="198"/>
      <c r="E133" s="198"/>
      <c r="F133" s="198"/>
      <c r="G133" s="198"/>
      <c r="H133" s="198"/>
      <c r="I133" s="198"/>
      <c r="J133" s="198"/>
      <c r="K133" s="198"/>
      <c r="L133" s="198"/>
      <c r="M133" s="198"/>
      <c r="N133" s="198"/>
      <c r="O133" s="198"/>
      <c r="P133" s="198"/>
      <c r="Q133" s="198"/>
      <c r="R133" s="198"/>
      <c r="S133" s="198"/>
      <c r="T133" s="198"/>
      <c r="U133" s="198"/>
      <c r="X133" s="20">
        <f t="shared" si="27"/>
        <v>4458646450</v>
      </c>
      <c r="Y133" s="20">
        <f t="shared" si="28"/>
        <v>760361250.39999998</v>
      </c>
    </row>
    <row r="134" spans="1:26" ht="45.75" customHeight="1" x14ac:dyDescent="0.25">
      <c r="A134" s="242" t="s">
        <v>173</v>
      </c>
      <c r="B134" s="199" t="s">
        <v>172</v>
      </c>
      <c r="C134" s="170" t="s">
        <v>171</v>
      </c>
      <c r="D134" s="170" t="s">
        <v>170</v>
      </c>
      <c r="E134" s="170" t="s">
        <v>453</v>
      </c>
      <c r="F134" s="93">
        <v>7</v>
      </c>
      <c r="G134" s="146">
        <v>7</v>
      </c>
      <c r="H134" s="172">
        <v>1</v>
      </c>
      <c r="I134" s="53" t="s">
        <v>718</v>
      </c>
      <c r="J134" s="172">
        <f>H134</f>
        <v>1</v>
      </c>
      <c r="K134" s="182">
        <f>[1]linea4!F33+[1]linea4!I33+[1]linea4!L33+[1]linea4!O33</f>
        <v>25</v>
      </c>
      <c r="L134" s="142">
        <f>1+8+14+G134</f>
        <v>30</v>
      </c>
      <c r="M134" s="172">
        <f>L134/K134</f>
        <v>1.2</v>
      </c>
      <c r="N134" s="182">
        <v>0</v>
      </c>
      <c r="O134" s="195">
        <v>589661613</v>
      </c>
      <c r="P134" s="194">
        <v>760361250.39999998</v>
      </c>
      <c r="Q134" s="197">
        <f>P134/O134</f>
        <v>1.289487451169727</v>
      </c>
      <c r="R134" s="195">
        <v>4458646450</v>
      </c>
      <c r="S134" s="194">
        <v>2460213554.4000001</v>
      </c>
      <c r="T134" s="197">
        <f>S134/R134</f>
        <v>0.55178484815722495</v>
      </c>
      <c r="U134" s="63"/>
      <c r="X134" s="20">
        <f t="shared" si="27"/>
        <v>0</v>
      </c>
      <c r="Y134" s="20">
        <f t="shared" si="28"/>
        <v>0</v>
      </c>
    </row>
    <row r="135" spans="1:26" ht="67.5" x14ac:dyDescent="0.25">
      <c r="A135" s="242"/>
      <c r="B135" s="199"/>
      <c r="C135" s="178" t="s">
        <v>784</v>
      </c>
      <c r="D135" s="170" t="s">
        <v>169</v>
      </c>
      <c r="E135" s="170" t="s">
        <v>164</v>
      </c>
      <c r="F135" s="93">
        <v>15</v>
      </c>
      <c r="G135" s="146">
        <v>15</v>
      </c>
      <c r="H135" s="172">
        <v>1</v>
      </c>
      <c r="I135" s="53" t="s">
        <v>719</v>
      </c>
      <c r="J135" s="172">
        <f>H135</f>
        <v>1</v>
      </c>
      <c r="K135" s="182">
        <v>70</v>
      </c>
      <c r="L135" s="142">
        <f>(5+29+32+G135)</f>
        <v>81</v>
      </c>
      <c r="M135" s="172">
        <f t="shared" ref="M135:M138" si="31">L135/K135</f>
        <v>1.1571428571428573</v>
      </c>
      <c r="N135" s="182">
        <v>0</v>
      </c>
      <c r="O135" s="195"/>
      <c r="P135" s="194"/>
      <c r="Q135" s="197"/>
      <c r="R135" s="195"/>
      <c r="S135" s="194"/>
      <c r="T135" s="197"/>
      <c r="U135" s="63"/>
      <c r="X135" s="20">
        <f t="shared" si="27"/>
        <v>0</v>
      </c>
      <c r="Y135" s="20">
        <f t="shared" si="28"/>
        <v>0</v>
      </c>
    </row>
    <row r="136" spans="1:26" ht="33.75" x14ac:dyDescent="0.25">
      <c r="A136" s="242"/>
      <c r="B136" s="199" t="s">
        <v>168</v>
      </c>
      <c r="C136" s="178" t="s">
        <v>167</v>
      </c>
      <c r="D136" s="170" t="s">
        <v>166</v>
      </c>
      <c r="E136" s="170" t="s">
        <v>53</v>
      </c>
      <c r="F136" s="94" t="s">
        <v>572</v>
      </c>
      <c r="G136" s="140" t="s">
        <v>572</v>
      </c>
      <c r="H136" s="172" t="s">
        <v>572</v>
      </c>
      <c r="I136" s="53" t="s">
        <v>720</v>
      </c>
      <c r="J136" s="172" t="str">
        <f>H136</f>
        <v>NP</v>
      </c>
      <c r="K136" s="185">
        <f>[1]linea4!F35+[1]linea4!I35+[1]linea4!L35+[1]linea4!O35</f>
        <v>1</v>
      </c>
      <c r="L136" s="27">
        <f>(92%+8%)</f>
        <v>1</v>
      </c>
      <c r="M136" s="172">
        <f t="shared" si="31"/>
        <v>1</v>
      </c>
      <c r="N136" s="182">
        <v>0</v>
      </c>
      <c r="O136" s="195"/>
      <c r="P136" s="194"/>
      <c r="Q136" s="197"/>
      <c r="R136" s="195"/>
      <c r="S136" s="194"/>
      <c r="T136" s="197"/>
      <c r="U136" s="63"/>
      <c r="X136" s="20">
        <f t="shared" si="27"/>
        <v>0</v>
      </c>
      <c r="Y136" s="20">
        <f t="shared" si="28"/>
        <v>0</v>
      </c>
    </row>
    <row r="137" spans="1:26" ht="56.25" x14ac:dyDescent="0.25">
      <c r="A137" s="242"/>
      <c r="B137" s="199"/>
      <c r="C137" s="178" t="s">
        <v>785</v>
      </c>
      <c r="D137" s="170" t="s">
        <v>165</v>
      </c>
      <c r="E137" s="170" t="s">
        <v>164</v>
      </c>
      <c r="F137" s="93">
        <v>2</v>
      </c>
      <c r="G137" s="146">
        <v>2</v>
      </c>
      <c r="H137" s="172">
        <v>1</v>
      </c>
      <c r="I137" s="53" t="s">
        <v>721</v>
      </c>
      <c r="J137" s="172">
        <f>H137</f>
        <v>1</v>
      </c>
      <c r="K137" s="182">
        <v>15</v>
      </c>
      <c r="L137" s="142">
        <f>2+4+5+G137</f>
        <v>13</v>
      </c>
      <c r="M137" s="172">
        <f t="shared" si="31"/>
        <v>0.8666666666666667</v>
      </c>
      <c r="N137" s="182">
        <v>0</v>
      </c>
      <c r="O137" s="195"/>
      <c r="P137" s="194"/>
      <c r="Q137" s="197"/>
      <c r="R137" s="195"/>
      <c r="S137" s="194"/>
      <c r="T137" s="197"/>
      <c r="U137" s="63"/>
      <c r="X137" s="20">
        <f t="shared" si="27"/>
        <v>0</v>
      </c>
      <c r="Y137" s="20">
        <f t="shared" si="28"/>
        <v>0</v>
      </c>
    </row>
    <row r="138" spans="1:26" ht="22.5" x14ac:dyDescent="0.25">
      <c r="A138" s="242"/>
      <c r="B138" s="199"/>
      <c r="C138" s="170" t="s">
        <v>163</v>
      </c>
      <c r="D138" s="170" t="s">
        <v>162</v>
      </c>
      <c r="E138" s="170" t="s">
        <v>161</v>
      </c>
      <c r="F138" s="97" t="s">
        <v>572</v>
      </c>
      <c r="G138" s="146" t="s">
        <v>572</v>
      </c>
      <c r="H138" s="172" t="s">
        <v>572</v>
      </c>
      <c r="I138" s="53" t="s">
        <v>572</v>
      </c>
      <c r="J138" s="172" t="str">
        <f>H138</f>
        <v>NP</v>
      </c>
      <c r="K138" s="182">
        <f>[1]linea4!F37+[1]linea4!I37+[1]linea4!L37+[1]linea4!O37</f>
        <v>2</v>
      </c>
      <c r="L138" s="142">
        <f>1+1</f>
        <v>2</v>
      </c>
      <c r="M138" s="172">
        <f t="shared" si="31"/>
        <v>1</v>
      </c>
      <c r="N138" s="182">
        <v>0</v>
      </c>
      <c r="O138" s="195"/>
      <c r="P138" s="194"/>
      <c r="Q138" s="197"/>
      <c r="R138" s="195"/>
      <c r="S138" s="194"/>
      <c r="T138" s="197"/>
      <c r="U138" s="61"/>
      <c r="X138" s="20">
        <f t="shared" si="27"/>
        <v>0</v>
      </c>
      <c r="Y138" s="20">
        <f t="shared" si="28"/>
        <v>0</v>
      </c>
    </row>
    <row r="139" spans="1:26" x14ac:dyDescent="0.25">
      <c r="A139" s="257" t="s">
        <v>160</v>
      </c>
      <c r="B139" s="257"/>
      <c r="C139" s="257"/>
      <c r="D139" s="257"/>
      <c r="E139" s="257"/>
      <c r="F139" s="257"/>
      <c r="G139" s="257"/>
      <c r="H139" s="257"/>
      <c r="I139" s="257"/>
      <c r="J139" s="257"/>
      <c r="K139" s="257"/>
      <c r="L139" s="257"/>
      <c r="M139" s="257"/>
      <c r="N139" s="257"/>
      <c r="O139" s="257"/>
      <c r="P139" s="257"/>
      <c r="Q139" s="257"/>
      <c r="R139" s="257"/>
      <c r="S139" s="257"/>
      <c r="T139" s="257"/>
      <c r="U139" s="257"/>
    </row>
    <row r="140" spans="1:26" x14ac:dyDescent="0.25">
      <c r="A140" s="257" t="s">
        <v>159</v>
      </c>
      <c r="B140" s="257"/>
      <c r="C140" s="257"/>
      <c r="D140" s="257"/>
      <c r="E140" s="257"/>
      <c r="F140" s="257"/>
      <c r="G140" s="257"/>
      <c r="H140" s="257"/>
      <c r="I140" s="257"/>
      <c r="J140" s="257"/>
      <c r="K140" s="257"/>
      <c r="L140" s="257"/>
      <c r="M140" s="257"/>
      <c r="N140" s="257"/>
      <c r="O140" s="257"/>
      <c r="P140" s="257"/>
      <c r="Q140" s="257"/>
      <c r="R140" s="257"/>
      <c r="S140" s="257"/>
      <c r="T140" s="257"/>
      <c r="U140" s="257"/>
      <c r="X140" s="14" t="s">
        <v>443</v>
      </c>
      <c r="Y140" s="14" t="s">
        <v>444</v>
      </c>
      <c r="Z140" s="14" t="s">
        <v>5</v>
      </c>
    </row>
    <row r="141" spans="1:26" ht="67.5" x14ac:dyDescent="0.25">
      <c r="A141" s="217" t="s">
        <v>158</v>
      </c>
      <c r="B141" s="214" t="s">
        <v>157</v>
      </c>
      <c r="C141" s="59" t="s">
        <v>786</v>
      </c>
      <c r="D141" s="168" t="s">
        <v>156</v>
      </c>
      <c r="E141" s="168" t="s">
        <v>152</v>
      </c>
      <c r="F141" s="168">
        <v>662</v>
      </c>
      <c r="G141" s="147">
        <v>567.20000000000005</v>
      </c>
      <c r="H141" s="172">
        <f>+G141/F141</f>
        <v>0.85679758308157106</v>
      </c>
      <c r="I141" s="54" t="s">
        <v>722</v>
      </c>
      <c r="J141" s="172">
        <f t="shared" ref="J141:J154" si="32">H141</f>
        <v>0.85679758308157106</v>
      </c>
      <c r="K141" s="182">
        <v>17100</v>
      </c>
      <c r="L141" s="138">
        <f>664.26+11673.5+4396.2+G141</f>
        <v>17301.16</v>
      </c>
      <c r="M141" s="172">
        <v>1</v>
      </c>
      <c r="N141" s="183">
        <v>0</v>
      </c>
      <c r="O141" s="195">
        <v>5109742571</v>
      </c>
      <c r="P141" s="194">
        <v>4889081572.0600004</v>
      </c>
      <c r="Q141" s="197">
        <f>P141/O141</f>
        <v>0.95681563290637262</v>
      </c>
      <c r="R141" s="195">
        <v>20438970283</v>
      </c>
      <c r="S141" s="194">
        <v>19704428050.919998</v>
      </c>
      <c r="T141" s="197">
        <f>S141/R141</f>
        <v>0.96406168109697032</v>
      </c>
      <c r="U141" s="63"/>
      <c r="W141" s="21">
        <f>+X141+X156+X165+X177+X186</f>
        <v>143368062409</v>
      </c>
      <c r="X141" s="21">
        <f t="shared" ref="X141:X172" si="33">+R141</f>
        <v>20438970283</v>
      </c>
      <c r="Y141" s="21">
        <f t="shared" ref="Y141:Y172" si="34">+P141</f>
        <v>4889081572.0600004</v>
      </c>
      <c r="Z141" s="21">
        <f>+Y141+Y156+Y165+Y177+Y186</f>
        <v>34922011229</v>
      </c>
    </row>
    <row r="142" spans="1:26" ht="56.25" x14ac:dyDescent="0.25">
      <c r="A142" s="217"/>
      <c r="B142" s="214"/>
      <c r="C142" s="59" t="s">
        <v>787</v>
      </c>
      <c r="D142" s="168" t="s">
        <v>153</v>
      </c>
      <c r="E142" s="168" t="s">
        <v>152</v>
      </c>
      <c r="F142" s="168">
        <v>165.5</v>
      </c>
      <c r="G142" s="147">
        <v>2615</v>
      </c>
      <c r="H142" s="172">
        <f>G142/F142</f>
        <v>15.80060422960725</v>
      </c>
      <c r="I142" s="54" t="s">
        <v>723</v>
      </c>
      <c r="J142" s="172">
        <f t="shared" si="32"/>
        <v>15.80060422960725</v>
      </c>
      <c r="K142" s="182">
        <v>4000</v>
      </c>
      <c r="L142" s="138">
        <f>115.27+1065.3+803.3+G142</f>
        <v>4598.87</v>
      </c>
      <c r="M142" s="172">
        <v>1</v>
      </c>
      <c r="N142" s="182">
        <v>0</v>
      </c>
      <c r="O142" s="195"/>
      <c r="P142" s="194"/>
      <c r="Q142" s="197"/>
      <c r="R142" s="195"/>
      <c r="S142" s="194"/>
      <c r="T142" s="197"/>
      <c r="U142" s="55"/>
      <c r="W142" s="22"/>
      <c r="X142" s="21">
        <f t="shared" si="33"/>
        <v>0</v>
      </c>
      <c r="Y142" s="21">
        <f t="shared" si="34"/>
        <v>0</v>
      </c>
    </row>
    <row r="143" spans="1:26" ht="22.5" x14ac:dyDescent="0.25">
      <c r="A143" s="217"/>
      <c r="B143" s="214"/>
      <c r="C143" s="59" t="s">
        <v>498</v>
      </c>
      <c r="D143" s="168" t="s">
        <v>446</v>
      </c>
      <c r="E143" s="168" t="s">
        <v>152</v>
      </c>
      <c r="F143" s="65">
        <v>59745</v>
      </c>
      <c r="G143" s="147">
        <v>0</v>
      </c>
      <c r="H143" s="172">
        <f>G143/F143</f>
        <v>0</v>
      </c>
      <c r="I143" s="54"/>
      <c r="J143" s="172">
        <f t="shared" si="32"/>
        <v>0</v>
      </c>
      <c r="K143" s="138">
        <v>156000</v>
      </c>
      <c r="L143" s="138">
        <f>96255+G143</f>
        <v>96255</v>
      </c>
      <c r="M143" s="172">
        <f t="shared" ref="M143:M163" si="35">L143/K143</f>
        <v>0.61701923076923082</v>
      </c>
      <c r="N143" s="182">
        <v>0</v>
      </c>
      <c r="O143" s="195"/>
      <c r="P143" s="194"/>
      <c r="Q143" s="197"/>
      <c r="R143" s="195"/>
      <c r="S143" s="194"/>
      <c r="T143" s="197"/>
      <c r="U143" s="55"/>
      <c r="W143" s="23"/>
      <c r="X143" s="21">
        <f t="shared" si="33"/>
        <v>0</v>
      </c>
      <c r="Y143" s="21">
        <f t="shared" si="34"/>
        <v>0</v>
      </c>
    </row>
    <row r="144" spans="1:26" ht="70.5" customHeight="1" x14ac:dyDescent="0.25">
      <c r="A144" s="217"/>
      <c r="B144" s="214"/>
      <c r="C144" s="59" t="s">
        <v>499</v>
      </c>
      <c r="D144" s="168" t="s">
        <v>500</v>
      </c>
      <c r="E144" s="168" t="s">
        <v>53</v>
      </c>
      <c r="F144" s="66">
        <v>1</v>
      </c>
      <c r="G144" s="148" t="s">
        <v>573</v>
      </c>
      <c r="H144" s="172" t="s">
        <v>573</v>
      </c>
      <c r="I144" s="54" t="s">
        <v>724</v>
      </c>
      <c r="J144" s="172" t="str">
        <f t="shared" si="32"/>
        <v>NA</v>
      </c>
      <c r="K144" s="79">
        <v>1</v>
      </c>
      <c r="L144" s="79">
        <f>(50%+100%+44%)/4</f>
        <v>0.48499999999999999</v>
      </c>
      <c r="M144" s="36">
        <f t="shared" si="35"/>
        <v>0.48499999999999999</v>
      </c>
      <c r="N144" s="182">
        <v>0</v>
      </c>
      <c r="O144" s="195"/>
      <c r="P144" s="194"/>
      <c r="Q144" s="197"/>
      <c r="R144" s="195"/>
      <c r="S144" s="194"/>
      <c r="T144" s="197"/>
      <c r="U144" s="168"/>
      <c r="W144" s="23"/>
      <c r="X144" s="21">
        <f t="shared" si="33"/>
        <v>0</v>
      </c>
      <c r="Y144" s="21">
        <f t="shared" si="34"/>
        <v>0</v>
      </c>
    </row>
    <row r="145" spans="1:25" ht="22.5" x14ac:dyDescent="0.25">
      <c r="A145" s="217"/>
      <c r="B145" s="214" t="s">
        <v>155</v>
      </c>
      <c r="C145" s="59" t="s">
        <v>154</v>
      </c>
      <c r="D145" s="168" t="s">
        <v>139</v>
      </c>
      <c r="E145" s="168" t="s">
        <v>53</v>
      </c>
      <c r="F145" s="66" t="s">
        <v>572</v>
      </c>
      <c r="G145" s="148" t="s">
        <v>572</v>
      </c>
      <c r="H145" s="172">
        <v>1</v>
      </c>
      <c r="I145" s="54" t="s">
        <v>725</v>
      </c>
      <c r="J145" s="172">
        <f t="shared" si="32"/>
        <v>1</v>
      </c>
      <c r="K145" s="185">
        <v>1</v>
      </c>
      <c r="L145" s="27">
        <f>10%+30%+60%</f>
        <v>1</v>
      </c>
      <c r="M145" s="36">
        <f t="shared" si="35"/>
        <v>1</v>
      </c>
      <c r="N145" s="182">
        <v>0</v>
      </c>
      <c r="O145" s="195"/>
      <c r="P145" s="194"/>
      <c r="Q145" s="197"/>
      <c r="R145" s="195"/>
      <c r="S145" s="194"/>
      <c r="T145" s="197"/>
      <c r="U145" s="63"/>
      <c r="W145" s="23"/>
      <c r="X145" s="21">
        <f t="shared" si="33"/>
        <v>0</v>
      </c>
      <c r="Y145" s="21">
        <f t="shared" si="34"/>
        <v>0</v>
      </c>
    </row>
    <row r="146" spans="1:25" ht="45" x14ac:dyDescent="0.25">
      <c r="A146" s="217"/>
      <c r="B146" s="214"/>
      <c r="C146" s="59" t="s">
        <v>788</v>
      </c>
      <c r="D146" s="168" t="s">
        <v>153</v>
      </c>
      <c r="E146" s="168" t="s">
        <v>152</v>
      </c>
      <c r="F146" s="65">
        <v>10</v>
      </c>
      <c r="G146" s="147">
        <v>36</v>
      </c>
      <c r="H146" s="172">
        <f>G146/F146</f>
        <v>3.6</v>
      </c>
      <c r="I146" s="54" t="s">
        <v>726</v>
      </c>
      <c r="J146" s="172">
        <f t="shared" si="32"/>
        <v>3.6</v>
      </c>
      <c r="K146" s="263">
        <v>72.5</v>
      </c>
      <c r="L146" s="142">
        <f>11.5+13+12+G146</f>
        <v>72.5</v>
      </c>
      <c r="M146" s="36">
        <f t="shared" si="35"/>
        <v>1</v>
      </c>
      <c r="N146" s="182">
        <v>0</v>
      </c>
      <c r="O146" s="195"/>
      <c r="P146" s="194"/>
      <c r="Q146" s="197"/>
      <c r="R146" s="195"/>
      <c r="S146" s="194"/>
      <c r="T146" s="197"/>
      <c r="U146" s="55"/>
      <c r="W146" s="23"/>
      <c r="X146" s="21">
        <f t="shared" si="33"/>
        <v>0</v>
      </c>
      <c r="Y146" s="21">
        <f t="shared" si="34"/>
        <v>0</v>
      </c>
    </row>
    <row r="147" spans="1:25" ht="45" x14ac:dyDescent="0.25">
      <c r="A147" s="217"/>
      <c r="B147" s="214"/>
      <c r="C147" s="168" t="s">
        <v>635</v>
      </c>
      <c r="D147" s="168" t="s">
        <v>151</v>
      </c>
      <c r="E147" s="168" t="s">
        <v>150</v>
      </c>
      <c r="F147" s="65">
        <v>6</v>
      </c>
      <c r="G147" s="147">
        <v>6</v>
      </c>
      <c r="H147" s="172">
        <f>G147/F147</f>
        <v>1</v>
      </c>
      <c r="I147" s="54" t="s">
        <v>727</v>
      </c>
      <c r="J147" s="172">
        <f t="shared" si="32"/>
        <v>1</v>
      </c>
      <c r="K147" s="182">
        <v>20</v>
      </c>
      <c r="L147" s="142">
        <f>(2+7+5+G147)</f>
        <v>20</v>
      </c>
      <c r="M147" s="172">
        <f t="shared" si="35"/>
        <v>1</v>
      </c>
      <c r="N147" s="182">
        <v>0</v>
      </c>
      <c r="O147" s="195"/>
      <c r="P147" s="194"/>
      <c r="Q147" s="197"/>
      <c r="R147" s="195"/>
      <c r="S147" s="194"/>
      <c r="T147" s="197"/>
      <c r="U147" s="55"/>
      <c r="W147" s="23"/>
      <c r="X147" s="21">
        <f t="shared" si="33"/>
        <v>0</v>
      </c>
      <c r="Y147" s="21">
        <f t="shared" si="34"/>
        <v>0</v>
      </c>
    </row>
    <row r="148" spans="1:25" ht="123.75" x14ac:dyDescent="0.25">
      <c r="A148" s="217"/>
      <c r="B148" s="214" t="s">
        <v>149</v>
      </c>
      <c r="C148" s="59" t="s">
        <v>597</v>
      </c>
      <c r="D148" s="168" t="s">
        <v>148</v>
      </c>
      <c r="E148" s="168" t="s">
        <v>239</v>
      </c>
      <c r="F148" s="67">
        <v>1</v>
      </c>
      <c r="G148" s="148">
        <v>1</v>
      </c>
      <c r="H148" s="172">
        <f>G148/F148</f>
        <v>1</v>
      </c>
      <c r="I148" s="54" t="s">
        <v>734</v>
      </c>
      <c r="J148" s="172">
        <f t="shared" si="32"/>
        <v>1</v>
      </c>
      <c r="K148" s="182">
        <v>10</v>
      </c>
      <c r="L148" s="142">
        <f>1+4+5</f>
        <v>10</v>
      </c>
      <c r="M148" s="172">
        <f t="shared" si="35"/>
        <v>1</v>
      </c>
      <c r="N148" s="182">
        <v>0</v>
      </c>
      <c r="O148" s="195"/>
      <c r="P148" s="194"/>
      <c r="Q148" s="197"/>
      <c r="R148" s="195"/>
      <c r="S148" s="194"/>
      <c r="T148" s="197"/>
      <c r="U148" s="55"/>
      <c r="W148" s="23"/>
      <c r="X148" s="21">
        <f t="shared" si="33"/>
        <v>0</v>
      </c>
      <c r="Y148" s="21">
        <f t="shared" si="34"/>
        <v>0</v>
      </c>
    </row>
    <row r="149" spans="1:25" ht="45" x14ac:dyDescent="0.25">
      <c r="A149" s="217"/>
      <c r="B149" s="214"/>
      <c r="C149" s="168" t="s">
        <v>501</v>
      </c>
      <c r="D149" s="168" t="s">
        <v>502</v>
      </c>
      <c r="E149" s="168" t="s">
        <v>53</v>
      </c>
      <c r="F149" s="67">
        <v>1</v>
      </c>
      <c r="G149" s="148">
        <v>1</v>
      </c>
      <c r="H149" s="172">
        <f>G149/F149</f>
        <v>1</v>
      </c>
      <c r="I149" s="54" t="s">
        <v>728</v>
      </c>
      <c r="J149" s="172">
        <f t="shared" si="32"/>
        <v>1</v>
      </c>
      <c r="K149" s="185">
        <v>1</v>
      </c>
      <c r="L149" s="27">
        <f>(80%+100%+100%+G149)/4</f>
        <v>0.95</v>
      </c>
      <c r="M149" s="172">
        <f t="shared" si="35"/>
        <v>0.95</v>
      </c>
      <c r="N149" s="182">
        <v>0</v>
      </c>
      <c r="O149" s="195"/>
      <c r="P149" s="194"/>
      <c r="Q149" s="197"/>
      <c r="R149" s="195"/>
      <c r="S149" s="194"/>
      <c r="T149" s="197"/>
      <c r="U149" s="168"/>
      <c r="W149" s="23"/>
      <c r="X149" s="21">
        <f t="shared" si="33"/>
        <v>0</v>
      </c>
      <c r="Y149" s="21">
        <f t="shared" si="34"/>
        <v>0</v>
      </c>
    </row>
    <row r="150" spans="1:25" ht="118.5" customHeight="1" x14ac:dyDescent="0.25">
      <c r="A150" s="217"/>
      <c r="B150" s="214"/>
      <c r="C150" s="59" t="s">
        <v>598</v>
      </c>
      <c r="D150" s="168" t="s">
        <v>147</v>
      </c>
      <c r="E150" s="168" t="s">
        <v>90</v>
      </c>
      <c r="F150" s="65">
        <v>2</v>
      </c>
      <c r="G150" s="147">
        <v>3</v>
      </c>
      <c r="H150" s="172">
        <v>1</v>
      </c>
      <c r="I150" s="54" t="s">
        <v>729</v>
      </c>
      <c r="J150" s="172">
        <f t="shared" si="32"/>
        <v>1</v>
      </c>
      <c r="K150" s="182">
        <v>8</v>
      </c>
      <c r="L150" s="142">
        <f>1+3+3+G150</f>
        <v>10</v>
      </c>
      <c r="M150" s="172">
        <f t="shared" si="35"/>
        <v>1.25</v>
      </c>
      <c r="N150" s="182">
        <v>0</v>
      </c>
      <c r="O150" s="195"/>
      <c r="P150" s="194"/>
      <c r="Q150" s="197"/>
      <c r="R150" s="195"/>
      <c r="S150" s="194"/>
      <c r="T150" s="197"/>
      <c r="U150" s="63"/>
      <c r="W150" s="23"/>
      <c r="X150" s="21">
        <f t="shared" si="33"/>
        <v>0</v>
      </c>
      <c r="Y150" s="21">
        <f t="shared" si="34"/>
        <v>0</v>
      </c>
    </row>
    <row r="151" spans="1:25" ht="56.25" x14ac:dyDescent="0.25">
      <c r="A151" s="217"/>
      <c r="B151" s="214"/>
      <c r="C151" s="168" t="s">
        <v>146</v>
      </c>
      <c r="D151" s="168" t="s">
        <v>145</v>
      </c>
      <c r="E151" s="168" t="s">
        <v>53</v>
      </c>
      <c r="F151" s="68">
        <v>0.25</v>
      </c>
      <c r="G151" s="148">
        <v>0.25</v>
      </c>
      <c r="H151" s="172">
        <f>G151/F151</f>
        <v>1</v>
      </c>
      <c r="I151" s="54" t="s">
        <v>730</v>
      </c>
      <c r="J151" s="172">
        <f>H151</f>
        <v>1</v>
      </c>
      <c r="K151" s="185">
        <v>1</v>
      </c>
      <c r="L151" s="27">
        <f>(25%+25%+25%+G151)</f>
        <v>1</v>
      </c>
      <c r="M151" s="172">
        <f t="shared" si="35"/>
        <v>1</v>
      </c>
      <c r="N151" s="182">
        <v>0</v>
      </c>
      <c r="O151" s="195"/>
      <c r="P151" s="194"/>
      <c r="Q151" s="197"/>
      <c r="R151" s="195"/>
      <c r="S151" s="194"/>
      <c r="T151" s="197"/>
      <c r="U151" s="168"/>
      <c r="W151" s="23"/>
      <c r="X151" s="21">
        <f t="shared" si="33"/>
        <v>0</v>
      </c>
      <c r="Y151" s="21">
        <f t="shared" si="34"/>
        <v>0</v>
      </c>
    </row>
    <row r="152" spans="1:25" ht="56.25" x14ac:dyDescent="0.25">
      <c r="A152" s="217"/>
      <c r="B152" s="214"/>
      <c r="C152" s="168" t="s">
        <v>144</v>
      </c>
      <c r="D152" s="168" t="s">
        <v>599</v>
      </c>
      <c r="E152" s="168" t="s">
        <v>53</v>
      </c>
      <c r="F152" s="68">
        <v>0.25</v>
      </c>
      <c r="G152" s="148">
        <v>0.25</v>
      </c>
      <c r="H152" s="172">
        <f>G152/F152</f>
        <v>1</v>
      </c>
      <c r="I152" s="54" t="s">
        <v>731</v>
      </c>
      <c r="J152" s="172">
        <f t="shared" si="32"/>
        <v>1</v>
      </c>
      <c r="K152" s="185">
        <v>1</v>
      </c>
      <c r="L152" s="27">
        <f>25%+25%+25%+G152</f>
        <v>1</v>
      </c>
      <c r="M152" s="172">
        <f t="shared" si="35"/>
        <v>1</v>
      </c>
      <c r="N152" s="182">
        <v>0</v>
      </c>
      <c r="O152" s="195"/>
      <c r="P152" s="194"/>
      <c r="Q152" s="197"/>
      <c r="R152" s="195"/>
      <c r="S152" s="194"/>
      <c r="T152" s="197"/>
      <c r="U152" s="183"/>
      <c r="W152" s="23"/>
      <c r="X152" s="21">
        <f t="shared" si="33"/>
        <v>0</v>
      </c>
      <c r="Y152" s="21">
        <f t="shared" si="34"/>
        <v>0</v>
      </c>
    </row>
    <row r="153" spans="1:25" ht="56.25" x14ac:dyDescent="0.25">
      <c r="A153" s="217"/>
      <c r="B153" s="214" t="s">
        <v>143</v>
      </c>
      <c r="C153" s="168" t="s">
        <v>142</v>
      </c>
      <c r="D153" s="168" t="s">
        <v>141</v>
      </c>
      <c r="E153" s="168" t="s">
        <v>53</v>
      </c>
      <c r="F153" s="68">
        <v>0.25</v>
      </c>
      <c r="G153" s="148">
        <v>0.25</v>
      </c>
      <c r="H153" s="172">
        <f>G153/F153</f>
        <v>1</v>
      </c>
      <c r="I153" s="54" t="s">
        <v>732</v>
      </c>
      <c r="J153" s="172">
        <f t="shared" si="32"/>
        <v>1</v>
      </c>
      <c r="K153" s="185">
        <v>1</v>
      </c>
      <c r="L153" s="27">
        <f>(25%+25%+25%+G153)</f>
        <v>1</v>
      </c>
      <c r="M153" s="172">
        <f t="shared" si="35"/>
        <v>1</v>
      </c>
      <c r="N153" s="182">
        <v>0</v>
      </c>
      <c r="O153" s="195"/>
      <c r="P153" s="194"/>
      <c r="Q153" s="197"/>
      <c r="R153" s="195"/>
      <c r="S153" s="194"/>
      <c r="T153" s="197"/>
      <c r="U153" s="183"/>
      <c r="W153" s="23"/>
      <c r="X153" s="21">
        <f t="shared" si="33"/>
        <v>0</v>
      </c>
      <c r="Y153" s="21">
        <f t="shared" si="34"/>
        <v>0</v>
      </c>
    </row>
    <row r="154" spans="1:25" ht="33.75" x14ac:dyDescent="0.25">
      <c r="A154" s="217"/>
      <c r="B154" s="214"/>
      <c r="C154" s="168" t="s">
        <v>140</v>
      </c>
      <c r="D154" s="168" t="s">
        <v>139</v>
      </c>
      <c r="E154" s="168" t="s">
        <v>53</v>
      </c>
      <c r="F154" s="68">
        <v>0.25</v>
      </c>
      <c r="G154" s="148">
        <v>0.25</v>
      </c>
      <c r="H154" s="172">
        <f>G154/F154</f>
        <v>1</v>
      </c>
      <c r="I154" s="54" t="s">
        <v>733</v>
      </c>
      <c r="J154" s="172">
        <f t="shared" si="32"/>
        <v>1</v>
      </c>
      <c r="K154" s="185">
        <v>1</v>
      </c>
      <c r="L154" s="27">
        <f>20%+50%+G154</f>
        <v>0.95</v>
      </c>
      <c r="M154" s="172">
        <f t="shared" si="35"/>
        <v>0.95</v>
      </c>
      <c r="N154" s="182">
        <v>0</v>
      </c>
      <c r="O154" s="195"/>
      <c r="P154" s="194"/>
      <c r="Q154" s="197"/>
      <c r="R154" s="195"/>
      <c r="S154" s="194"/>
      <c r="T154" s="197"/>
      <c r="U154" s="183"/>
      <c r="W154" s="23"/>
      <c r="X154" s="21">
        <f t="shared" si="33"/>
        <v>0</v>
      </c>
      <c r="Y154" s="21">
        <f t="shared" si="34"/>
        <v>0</v>
      </c>
    </row>
    <row r="155" spans="1:25" x14ac:dyDescent="0.25">
      <c r="A155" s="257" t="s">
        <v>138</v>
      </c>
      <c r="B155" s="257"/>
      <c r="C155" s="257"/>
      <c r="D155" s="257"/>
      <c r="E155" s="257"/>
      <c r="F155" s="257"/>
      <c r="G155" s="257"/>
      <c r="H155" s="257"/>
      <c r="I155" s="257"/>
      <c r="J155" s="257"/>
      <c r="K155" s="257"/>
      <c r="L155" s="257"/>
      <c r="M155" s="257"/>
      <c r="N155" s="257"/>
      <c r="O155" s="257"/>
      <c r="P155" s="257"/>
      <c r="Q155" s="257"/>
      <c r="R155" s="257"/>
      <c r="S155" s="257"/>
      <c r="T155" s="257"/>
      <c r="U155" s="257"/>
      <c r="W155" s="23"/>
      <c r="X155" s="21">
        <f t="shared" si="33"/>
        <v>0</v>
      </c>
      <c r="Y155" s="21">
        <f t="shared" si="34"/>
        <v>0</v>
      </c>
    </row>
    <row r="156" spans="1:25" ht="33.75" x14ac:dyDescent="0.25">
      <c r="A156" s="217" t="s">
        <v>137</v>
      </c>
      <c r="B156" s="214" t="s">
        <v>136</v>
      </c>
      <c r="C156" s="59" t="s">
        <v>789</v>
      </c>
      <c r="D156" s="168" t="s">
        <v>600</v>
      </c>
      <c r="E156" s="168" t="s">
        <v>135</v>
      </c>
      <c r="F156" s="93">
        <v>4000</v>
      </c>
      <c r="G156" s="147">
        <v>55168.5</v>
      </c>
      <c r="H156" s="172">
        <f>G156/F156</f>
        <v>13.792125</v>
      </c>
      <c r="I156" s="54" t="s">
        <v>735</v>
      </c>
      <c r="J156" s="172">
        <f>H156</f>
        <v>13.792125</v>
      </c>
      <c r="K156" s="130">
        <v>75000</v>
      </c>
      <c r="L156" s="151">
        <f>18365.41+1184+G156</f>
        <v>74717.91</v>
      </c>
      <c r="M156" s="172">
        <f t="shared" si="35"/>
        <v>0.99623880000000009</v>
      </c>
      <c r="N156" s="182">
        <v>0</v>
      </c>
      <c r="O156" s="195">
        <v>2547242571</v>
      </c>
      <c r="P156" s="194">
        <v>2444540786.0300002</v>
      </c>
      <c r="Q156" s="197">
        <f>P156/O156</f>
        <v>0.95968119167791666</v>
      </c>
      <c r="R156" s="195">
        <v>10188970283</v>
      </c>
      <c r="S156" s="194">
        <v>10206214025.459999</v>
      </c>
      <c r="T156" s="197">
        <f>S156/R156</f>
        <v>1.0016923930467017</v>
      </c>
      <c r="U156" s="183"/>
      <c r="W156" s="23"/>
      <c r="X156" s="21">
        <f t="shared" si="33"/>
        <v>10188970283</v>
      </c>
      <c r="Y156" s="21">
        <f t="shared" si="34"/>
        <v>2444540786.0300002</v>
      </c>
    </row>
    <row r="157" spans="1:25" ht="33.75" x14ac:dyDescent="0.25">
      <c r="A157" s="217"/>
      <c r="B157" s="214"/>
      <c r="C157" s="59" t="s">
        <v>134</v>
      </c>
      <c r="D157" s="168" t="s">
        <v>133</v>
      </c>
      <c r="E157" s="168" t="s">
        <v>53</v>
      </c>
      <c r="F157" s="98">
        <v>0.3</v>
      </c>
      <c r="G157" s="149">
        <v>0.3</v>
      </c>
      <c r="H157" s="172">
        <f>G157/F157</f>
        <v>1</v>
      </c>
      <c r="I157" s="54" t="s">
        <v>736</v>
      </c>
      <c r="J157" s="172">
        <f t="shared" ref="J157:J163" si="36">H157</f>
        <v>1</v>
      </c>
      <c r="K157" s="185">
        <v>1</v>
      </c>
      <c r="L157" s="185">
        <f>10%+30%+30%+G157</f>
        <v>1</v>
      </c>
      <c r="M157" s="172">
        <f t="shared" si="35"/>
        <v>1</v>
      </c>
      <c r="N157" s="182">
        <v>0</v>
      </c>
      <c r="O157" s="195"/>
      <c r="P157" s="194"/>
      <c r="Q157" s="197"/>
      <c r="R157" s="195"/>
      <c r="S157" s="194"/>
      <c r="T157" s="197"/>
      <c r="U157" s="183"/>
      <c r="W157" s="23"/>
      <c r="X157" s="21">
        <f t="shared" si="33"/>
        <v>0</v>
      </c>
      <c r="Y157" s="21">
        <f t="shared" si="34"/>
        <v>0</v>
      </c>
    </row>
    <row r="158" spans="1:25" ht="33.75" x14ac:dyDescent="0.25">
      <c r="A158" s="217"/>
      <c r="B158" s="214"/>
      <c r="C158" s="59" t="s">
        <v>790</v>
      </c>
      <c r="D158" s="168" t="s">
        <v>132</v>
      </c>
      <c r="E158" s="168" t="s">
        <v>131</v>
      </c>
      <c r="F158" s="93">
        <v>4</v>
      </c>
      <c r="G158" s="147">
        <v>4</v>
      </c>
      <c r="H158" s="172">
        <f t="shared" ref="H158:H163" si="37">G158/F158</f>
        <v>1</v>
      </c>
      <c r="I158" s="54" t="s">
        <v>636</v>
      </c>
      <c r="J158" s="172">
        <f t="shared" si="36"/>
        <v>1</v>
      </c>
      <c r="K158" s="182">
        <v>17</v>
      </c>
      <c r="L158" s="182">
        <f>3+5+5+G158</f>
        <v>17</v>
      </c>
      <c r="M158" s="172">
        <f t="shared" si="35"/>
        <v>1</v>
      </c>
      <c r="N158" s="182">
        <v>0</v>
      </c>
      <c r="O158" s="195"/>
      <c r="P158" s="194"/>
      <c r="Q158" s="197"/>
      <c r="R158" s="195"/>
      <c r="S158" s="194"/>
      <c r="T158" s="197"/>
      <c r="U158" s="63"/>
      <c r="W158" s="23"/>
      <c r="X158" s="21">
        <f t="shared" si="33"/>
        <v>0</v>
      </c>
      <c r="Y158" s="21">
        <f t="shared" si="34"/>
        <v>0</v>
      </c>
    </row>
    <row r="159" spans="1:25" ht="65.25" customHeight="1" x14ac:dyDescent="0.25">
      <c r="A159" s="217"/>
      <c r="B159" s="214"/>
      <c r="C159" s="59" t="s">
        <v>130</v>
      </c>
      <c r="D159" s="168" t="s">
        <v>129</v>
      </c>
      <c r="E159" s="168" t="s">
        <v>53</v>
      </c>
      <c r="F159" s="102">
        <v>0.2</v>
      </c>
      <c r="G159" s="150">
        <v>0.2</v>
      </c>
      <c r="H159" s="172">
        <f t="shared" si="37"/>
        <v>1</v>
      </c>
      <c r="I159" s="54" t="s">
        <v>737</v>
      </c>
      <c r="J159" s="172">
        <f t="shared" si="36"/>
        <v>1</v>
      </c>
      <c r="K159" s="185">
        <v>1</v>
      </c>
      <c r="L159" s="185">
        <f>40%+20%+22.5%+G159</f>
        <v>1.0250000000000001</v>
      </c>
      <c r="M159" s="172">
        <f t="shared" si="35"/>
        <v>1.0250000000000001</v>
      </c>
      <c r="N159" s="182">
        <v>0</v>
      </c>
      <c r="O159" s="195"/>
      <c r="P159" s="194"/>
      <c r="Q159" s="197"/>
      <c r="R159" s="195"/>
      <c r="S159" s="194"/>
      <c r="T159" s="197"/>
      <c r="U159" s="183"/>
      <c r="W159" s="23"/>
      <c r="X159" s="21">
        <f t="shared" si="33"/>
        <v>0</v>
      </c>
      <c r="Y159" s="21">
        <f t="shared" si="34"/>
        <v>0</v>
      </c>
    </row>
    <row r="160" spans="1:25" ht="22.5" x14ac:dyDescent="0.25">
      <c r="A160" s="217"/>
      <c r="B160" s="214"/>
      <c r="C160" s="59" t="s">
        <v>128</v>
      </c>
      <c r="D160" s="168" t="s">
        <v>127</v>
      </c>
      <c r="E160" s="168" t="s">
        <v>53</v>
      </c>
      <c r="F160" s="102">
        <v>0.4</v>
      </c>
      <c r="G160" s="149">
        <v>0.4</v>
      </c>
      <c r="H160" s="172">
        <f t="shared" si="37"/>
        <v>1</v>
      </c>
      <c r="I160" s="54" t="s">
        <v>738</v>
      </c>
      <c r="J160" s="172">
        <f t="shared" si="36"/>
        <v>1</v>
      </c>
      <c r="K160" s="185">
        <v>1</v>
      </c>
      <c r="L160" s="185">
        <f>50%+20%+G160</f>
        <v>1.1000000000000001</v>
      </c>
      <c r="M160" s="172">
        <f t="shared" si="35"/>
        <v>1.1000000000000001</v>
      </c>
      <c r="N160" s="182">
        <v>0</v>
      </c>
      <c r="O160" s="195"/>
      <c r="P160" s="194"/>
      <c r="Q160" s="197"/>
      <c r="R160" s="195"/>
      <c r="S160" s="194"/>
      <c r="T160" s="197"/>
      <c r="U160" s="63"/>
      <c r="W160" s="23"/>
      <c r="X160" s="21">
        <f t="shared" si="33"/>
        <v>0</v>
      </c>
      <c r="Y160" s="21">
        <f t="shared" si="34"/>
        <v>0</v>
      </c>
    </row>
    <row r="161" spans="1:25" ht="56.25" x14ac:dyDescent="0.25">
      <c r="A161" s="217"/>
      <c r="B161" s="214"/>
      <c r="C161" s="59" t="s">
        <v>126</v>
      </c>
      <c r="D161" s="168" t="s">
        <v>125</v>
      </c>
      <c r="E161" s="168" t="s">
        <v>53</v>
      </c>
      <c r="F161" s="102">
        <v>0.3</v>
      </c>
      <c r="G161" s="149">
        <v>0.3</v>
      </c>
      <c r="H161" s="172">
        <f t="shared" si="37"/>
        <v>1</v>
      </c>
      <c r="I161" s="54" t="s">
        <v>739</v>
      </c>
      <c r="J161" s="172">
        <f t="shared" si="36"/>
        <v>1</v>
      </c>
      <c r="K161" s="185">
        <v>1</v>
      </c>
      <c r="L161" s="185">
        <f>31%+30%+G161</f>
        <v>0.90999999999999992</v>
      </c>
      <c r="M161" s="172">
        <f t="shared" si="35"/>
        <v>0.90999999999999992</v>
      </c>
      <c r="N161" s="182">
        <v>0</v>
      </c>
      <c r="O161" s="195"/>
      <c r="P161" s="194"/>
      <c r="Q161" s="197"/>
      <c r="R161" s="195"/>
      <c r="S161" s="194"/>
      <c r="T161" s="197"/>
      <c r="U161" s="183"/>
      <c r="V161" s="24"/>
      <c r="W161" s="23"/>
      <c r="X161" s="21">
        <f t="shared" si="33"/>
        <v>0</v>
      </c>
      <c r="Y161" s="21">
        <f t="shared" si="34"/>
        <v>0</v>
      </c>
    </row>
    <row r="162" spans="1:25" ht="45" x14ac:dyDescent="0.25">
      <c r="A162" s="217"/>
      <c r="B162" s="214" t="s">
        <v>124</v>
      </c>
      <c r="C162" s="59" t="s">
        <v>791</v>
      </c>
      <c r="D162" s="168" t="s">
        <v>123</v>
      </c>
      <c r="E162" s="168" t="s">
        <v>120</v>
      </c>
      <c r="F162" s="93">
        <v>3</v>
      </c>
      <c r="G162" s="147">
        <v>3</v>
      </c>
      <c r="H162" s="172">
        <f t="shared" si="37"/>
        <v>1</v>
      </c>
      <c r="I162" s="54" t="s">
        <v>740</v>
      </c>
      <c r="J162" s="172">
        <f t="shared" si="36"/>
        <v>1</v>
      </c>
      <c r="K162" s="182">
        <v>19</v>
      </c>
      <c r="L162" s="182">
        <f>3+6+7+G162</f>
        <v>19</v>
      </c>
      <c r="M162" s="172">
        <f t="shared" si="35"/>
        <v>1</v>
      </c>
      <c r="N162" s="182">
        <v>0</v>
      </c>
      <c r="O162" s="195"/>
      <c r="P162" s="194"/>
      <c r="Q162" s="197"/>
      <c r="R162" s="195"/>
      <c r="S162" s="194"/>
      <c r="T162" s="197"/>
      <c r="U162" s="63"/>
      <c r="W162" s="23"/>
      <c r="X162" s="21">
        <f t="shared" si="33"/>
        <v>0</v>
      </c>
      <c r="Y162" s="21">
        <f t="shared" si="34"/>
        <v>0</v>
      </c>
    </row>
    <row r="163" spans="1:25" ht="33.75" x14ac:dyDescent="0.25">
      <c r="A163" s="217"/>
      <c r="B163" s="214"/>
      <c r="C163" s="168" t="s">
        <v>122</v>
      </c>
      <c r="D163" s="168" t="s">
        <v>121</v>
      </c>
      <c r="E163" s="168" t="s">
        <v>120</v>
      </c>
      <c r="F163" s="93">
        <v>1</v>
      </c>
      <c r="G163" s="147">
        <v>2</v>
      </c>
      <c r="H163" s="172">
        <f t="shared" si="37"/>
        <v>2</v>
      </c>
      <c r="I163" s="54" t="s">
        <v>741</v>
      </c>
      <c r="J163" s="172">
        <f t="shared" si="36"/>
        <v>2</v>
      </c>
      <c r="K163" s="182">
        <v>3</v>
      </c>
      <c r="L163" s="182">
        <f>1+2+G163</f>
        <v>5</v>
      </c>
      <c r="M163" s="172">
        <f t="shared" si="35"/>
        <v>1.6666666666666667</v>
      </c>
      <c r="N163" s="182">
        <v>0</v>
      </c>
      <c r="O163" s="195"/>
      <c r="P163" s="194"/>
      <c r="Q163" s="197"/>
      <c r="R163" s="195"/>
      <c r="S163" s="194"/>
      <c r="T163" s="197"/>
      <c r="U163" s="63"/>
      <c r="W163" s="23"/>
      <c r="X163" s="21">
        <f t="shared" si="33"/>
        <v>0</v>
      </c>
      <c r="Y163" s="21">
        <f t="shared" si="34"/>
        <v>0</v>
      </c>
    </row>
    <row r="164" spans="1:25" x14ac:dyDescent="0.25">
      <c r="A164" s="216" t="s">
        <v>119</v>
      </c>
      <c r="B164" s="216"/>
      <c r="C164" s="216"/>
      <c r="D164" s="216"/>
      <c r="E164" s="216"/>
      <c r="F164" s="216"/>
      <c r="G164" s="216"/>
      <c r="H164" s="216"/>
      <c r="I164" s="216"/>
      <c r="J164" s="216"/>
      <c r="K164" s="216"/>
      <c r="L164" s="216"/>
      <c r="M164" s="216"/>
      <c r="N164" s="216"/>
      <c r="O164" s="216"/>
      <c r="P164" s="216"/>
      <c r="Q164" s="216"/>
      <c r="R164" s="216"/>
      <c r="S164" s="216"/>
      <c r="T164" s="216"/>
      <c r="U164" s="216"/>
      <c r="W164" s="23"/>
      <c r="X164" s="21">
        <f t="shared" si="33"/>
        <v>0</v>
      </c>
      <c r="Y164" s="21">
        <f t="shared" si="34"/>
        <v>0</v>
      </c>
    </row>
    <row r="165" spans="1:25" ht="78.75" x14ac:dyDescent="0.25">
      <c r="A165" s="215" t="s">
        <v>118</v>
      </c>
      <c r="B165" s="214" t="s">
        <v>117</v>
      </c>
      <c r="C165" s="178" t="s">
        <v>601</v>
      </c>
      <c r="D165" s="170" t="s">
        <v>503</v>
      </c>
      <c r="E165" s="170" t="s">
        <v>112</v>
      </c>
      <c r="F165" s="89">
        <v>20</v>
      </c>
      <c r="G165" s="147">
        <v>14</v>
      </c>
      <c r="H165" s="172">
        <f t="shared" ref="H165:H174" si="38">G165/F165</f>
        <v>0.7</v>
      </c>
      <c r="I165" s="54" t="s">
        <v>742</v>
      </c>
      <c r="J165" s="172">
        <f t="shared" ref="J165:J175" si="39">H165</f>
        <v>0.7</v>
      </c>
      <c r="K165" s="182">
        <v>50</v>
      </c>
      <c r="L165" s="142">
        <f>3+26+12+G165</f>
        <v>55</v>
      </c>
      <c r="M165" s="172">
        <f t="shared" ref="M165:M175" si="40">L165/K165</f>
        <v>1.1000000000000001</v>
      </c>
      <c r="N165" s="182">
        <v>0</v>
      </c>
      <c r="O165" s="195">
        <v>22260545319</v>
      </c>
      <c r="P165" s="194">
        <v>21651646961.98</v>
      </c>
      <c r="Q165" s="197">
        <f>P165/O165</f>
        <v>0.97264674569763176</v>
      </c>
      <c r="R165" s="195">
        <v>89042181277</v>
      </c>
      <c r="S165" s="194">
        <v>92372546368.360001</v>
      </c>
      <c r="T165" s="197">
        <f>S165/R165</f>
        <v>1.0374021058738399</v>
      </c>
      <c r="U165" s="63"/>
      <c r="W165" s="23"/>
      <c r="X165" s="21">
        <f t="shared" si="33"/>
        <v>89042181277</v>
      </c>
      <c r="Y165" s="21">
        <f t="shared" si="34"/>
        <v>21651646961.98</v>
      </c>
    </row>
    <row r="166" spans="1:25" ht="45" x14ac:dyDescent="0.25">
      <c r="A166" s="215"/>
      <c r="B166" s="214"/>
      <c r="C166" s="170" t="s">
        <v>504</v>
      </c>
      <c r="D166" s="170" t="s">
        <v>505</v>
      </c>
      <c r="E166" s="170" t="s">
        <v>112</v>
      </c>
      <c r="F166" s="104" t="s">
        <v>572</v>
      </c>
      <c r="G166" s="147" t="s">
        <v>572</v>
      </c>
      <c r="H166" s="172" t="s">
        <v>572</v>
      </c>
      <c r="I166" s="54" t="s">
        <v>743</v>
      </c>
      <c r="J166" s="172" t="str">
        <f t="shared" si="39"/>
        <v>NP</v>
      </c>
      <c r="K166" s="182">
        <v>14</v>
      </c>
      <c r="L166" s="142">
        <f>10+3+2</f>
        <v>15</v>
      </c>
      <c r="M166" s="172">
        <f t="shared" si="40"/>
        <v>1.0714285714285714</v>
      </c>
      <c r="N166" s="182">
        <v>0</v>
      </c>
      <c r="O166" s="195"/>
      <c r="P166" s="194"/>
      <c r="Q166" s="197"/>
      <c r="R166" s="195"/>
      <c r="S166" s="194"/>
      <c r="T166" s="197"/>
      <c r="U166" s="63"/>
      <c r="W166" s="23"/>
      <c r="X166" s="21">
        <f t="shared" si="33"/>
        <v>0</v>
      </c>
      <c r="Y166" s="21">
        <f t="shared" si="34"/>
        <v>0</v>
      </c>
    </row>
    <row r="167" spans="1:25" ht="67.5" x14ac:dyDescent="0.25">
      <c r="A167" s="215"/>
      <c r="B167" s="214"/>
      <c r="C167" s="170" t="s">
        <v>116</v>
      </c>
      <c r="D167" s="170" t="s">
        <v>506</v>
      </c>
      <c r="E167" s="170" t="s">
        <v>112</v>
      </c>
      <c r="F167" s="89">
        <v>2108</v>
      </c>
      <c r="G167" s="147">
        <v>789</v>
      </c>
      <c r="H167" s="172">
        <f t="shared" si="38"/>
        <v>0.37428842504743831</v>
      </c>
      <c r="I167" s="54" t="s">
        <v>744</v>
      </c>
      <c r="J167" s="172">
        <f t="shared" si="39"/>
        <v>0.37428842504743831</v>
      </c>
      <c r="K167" s="142">
        <v>7500</v>
      </c>
      <c r="L167" s="142">
        <v>7392</v>
      </c>
      <c r="M167" s="172">
        <f t="shared" si="40"/>
        <v>0.98560000000000003</v>
      </c>
      <c r="N167" s="182">
        <v>0</v>
      </c>
      <c r="O167" s="195"/>
      <c r="P167" s="194"/>
      <c r="Q167" s="197"/>
      <c r="R167" s="195"/>
      <c r="S167" s="194"/>
      <c r="T167" s="197"/>
      <c r="U167" s="63"/>
      <c r="W167" s="23"/>
      <c r="X167" s="21">
        <f t="shared" si="33"/>
        <v>0</v>
      </c>
      <c r="Y167" s="21">
        <f t="shared" si="34"/>
        <v>0</v>
      </c>
    </row>
    <row r="168" spans="1:25" ht="45" x14ac:dyDescent="0.25">
      <c r="A168" s="215"/>
      <c r="B168" s="199" t="s">
        <v>115</v>
      </c>
      <c r="C168" s="170" t="s">
        <v>114</v>
      </c>
      <c r="D168" s="168" t="s">
        <v>107</v>
      </c>
      <c r="E168" s="168" t="s">
        <v>4</v>
      </c>
      <c r="F168" s="105">
        <v>0.25</v>
      </c>
      <c r="G168" s="149">
        <v>0.25</v>
      </c>
      <c r="H168" s="172">
        <f>G168/F168</f>
        <v>1</v>
      </c>
      <c r="I168" s="54" t="s">
        <v>637</v>
      </c>
      <c r="J168" s="172">
        <f t="shared" si="39"/>
        <v>1</v>
      </c>
      <c r="K168" s="185">
        <v>1</v>
      </c>
      <c r="L168" s="158">
        <f>(25%+25%+25%+G168)</f>
        <v>1</v>
      </c>
      <c r="M168" s="172">
        <f t="shared" si="40"/>
        <v>1</v>
      </c>
      <c r="N168" s="182">
        <v>0</v>
      </c>
      <c r="O168" s="195"/>
      <c r="P168" s="194"/>
      <c r="Q168" s="197"/>
      <c r="R168" s="195"/>
      <c r="S168" s="194"/>
      <c r="T168" s="197"/>
      <c r="U168" s="168"/>
      <c r="W168" s="23"/>
      <c r="X168" s="21">
        <f t="shared" si="33"/>
        <v>0</v>
      </c>
      <c r="Y168" s="21">
        <f t="shared" si="34"/>
        <v>0</v>
      </c>
    </row>
    <row r="169" spans="1:25" ht="60" customHeight="1" x14ac:dyDescent="0.25">
      <c r="A169" s="215"/>
      <c r="B169" s="199"/>
      <c r="C169" s="178" t="s">
        <v>777</v>
      </c>
      <c r="D169" s="168" t="s">
        <v>107</v>
      </c>
      <c r="E169" s="168" t="s">
        <v>4</v>
      </c>
      <c r="F169" s="105">
        <v>0.3</v>
      </c>
      <c r="G169" s="148">
        <v>0.05</v>
      </c>
      <c r="H169" s="172">
        <f t="shared" si="38"/>
        <v>0.16666666666666669</v>
      </c>
      <c r="I169" s="54" t="s">
        <v>638</v>
      </c>
      <c r="J169" s="172">
        <f t="shared" si="39"/>
        <v>0.16666666666666669</v>
      </c>
      <c r="K169" s="185">
        <v>1</v>
      </c>
      <c r="L169" s="171">
        <f>10%+60%+G169</f>
        <v>0.75</v>
      </c>
      <c r="M169" s="172">
        <f t="shared" si="40"/>
        <v>0.75</v>
      </c>
      <c r="N169" s="182">
        <v>0</v>
      </c>
      <c r="O169" s="195"/>
      <c r="P169" s="194"/>
      <c r="Q169" s="197"/>
      <c r="R169" s="195"/>
      <c r="S169" s="194"/>
      <c r="T169" s="197"/>
      <c r="U169" s="168"/>
      <c r="W169" s="23"/>
      <c r="X169" s="21">
        <f t="shared" si="33"/>
        <v>0</v>
      </c>
      <c r="Y169" s="21">
        <f t="shared" si="34"/>
        <v>0</v>
      </c>
    </row>
    <row r="170" spans="1:25" ht="45" x14ac:dyDescent="0.25">
      <c r="A170" s="215"/>
      <c r="B170" s="199"/>
      <c r="C170" s="170" t="s">
        <v>113</v>
      </c>
      <c r="D170" s="168" t="s">
        <v>107</v>
      </c>
      <c r="E170" s="168" t="s">
        <v>112</v>
      </c>
      <c r="F170" s="105">
        <v>0.25</v>
      </c>
      <c r="G170" s="149">
        <v>0.2</v>
      </c>
      <c r="H170" s="172">
        <f t="shared" si="38"/>
        <v>0.8</v>
      </c>
      <c r="I170" s="54" t="s">
        <v>745</v>
      </c>
      <c r="J170" s="172">
        <f t="shared" si="39"/>
        <v>0.8</v>
      </c>
      <c r="K170" s="185">
        <v>1</v>
      </c>
      <c r="L170" s="158">
        <f>(25%+25%+15%+G170)</f>
        <v>0.85000000000000009</v>
      </c>
      <c r="M170" s="172">
        <f t="shared" si="40"/>
        <v>0.85000000000000009</v>
      </c>
      <c r="N170" s="182">
        <v>0</v>
      </c>
      <c r="O170" s="195"/>
      <c r="P170" s="194"/>
      <c r="Q170" s="197"/>
      <c r="R170" s="195"/>
      <c r="S170" s="194"/>
      <c r="T170" s="197"/>
      <c r="U170" s="168"/>
      <c r="W170" s="23"/>
      <c r="X170" s="21">
        <f t="shared" si="33"/>
        <v>0</v>
      </c>
      <c r="Y170" s="21">
        <f t="shared" si="34"/>
        <v>0</v>
      </c>
    </row>
    <row r="171" spans="1:25" ht="33.75" x14ac:dyDescent="0.25">
      <c r="A171" s="215"/>
      <c r="B171" s="199"/>
      <c r="C171" s="168" t="s">
        <v>111</v>
      </c>
      <c r="D171" s="168" t="s">
        <v>110</v>
      </c>
      <c r="E171" s="168" t="s">
        <v>109</v>
      </c>
      <c r="F171" s="105">
        <v>0.25</v>
      </c>
      <c r="G171" s="149">
        <v>0.25</v>
      </c>
      <c r="H171" s="172">
        <f t="shared" si="38"/>
        <v>1</v>
      </c>
      <c r="I171" s="54" t="s">
        <v>746</v>
      </c>
      <c r="J171" s="172">
        <f t="shared" si="39"/>
        <v>1</v>
      </c>
      <c r="K171" s="185">
        <v>1</v>
      </c>
      <c r="L171" s="158">
        <f>25%+25%+25%+G171</f>
        <v>1</v>
      </c>
      <c r="M171" s="172">
        <f t="shared" si="40"/>
        <v>1</v>
      </c>
      <c r="N171" s="182">
        <v>0</v>
      </c>
      <c r="O171" s="195"/>
      <c r="P171" s="194"/>
      <c r="Q171" s="197"/>
      <c r="R171" s="195"/>
      <c r="S171" s="194"/>
      <c r="T171" s="197"/>
      <c r="U171" s="168"/>
      <c r="W171" s="23"/>
      <c r="X171" s="21">
        <f t="shared" si="33"/>
        <v>0</v>
      </c>
      <c r="Y171" s="21">
        <f t="shared" si="34"/>
        <v>0</v>
      </c>
    </row>
    <row r="172" spans="1:25" ht="45" x14ac:dyDescent="0.25">
      <c r="A172" s="215"/>
      <c r="B172" s="199"/>
      <c r="C172" s="168" t="s">
        <v>108</v>
      </c>
      <c r="D172" s="168" t="s">
        <v>107</v>
      </c>
      <c r="E172" s="168" t="s">
        <v>106</v>
      </c>
      <c r="F172" s="105">
        <v>1</v>
      </c>
      <c r="G172" s="148">
        <v>1</v>
      </c>
      <c r="H172" s="172">
        <f t="shared" si="38"/>
        <v>1</v>
      </c>
      <c r="I172" s="54" t="s">
        <v>747</v>
      </c>
      <c r="J172" s="172">
        <f t="shared" si="39"/>
        <v>1</v>
      </c>
      <c r="K172" s="185">
        <v>1</v>
      </c>
      <c r="L172" s="158">
        <f>(100%+100%+100%+G172)/4</f>
        <v>1</v>
      </c>
      <c r="M172" s="172">
        <f t="shared" si="40"/>
        <v>1</v>
      </c>
      <c r="N172" s="182">
        <v>0</v>
      </c>
      <c r="O172" s="195"/>
      <c r="P172" s="194"/>
      <c r="Q172" s="197"/>
      <c r="R172" s="195"/>
      <c r="S172" s="194"/>
      <c r="T172" s="197"/>
      <c r="U172" s="168"/>
      <c r="W172" s="23"/>
      <c r="X172" s="21">
        <f t="shared" si="33"/>
        <v>0</v>
      </c>
      <c r="Y172" s="21">
        <f t="shared" si="34"/>
        <v>0</v>
      </c>
    </row>
    <row r="173" spans="1:25" ht="45" x14ac:dyDescent="0.25">
      <c r="A173" s="215"/>
      <c r="B173" s="199"/>
      <c r="C173" s="168" t="s">
        <v>105</v>
      </c>
      <c r="D173" s="168" t="s">
        <v>104</v>
      </c>
      <c r="E173" s="168" t="s">
        <v>103</v>
      </c>
      <c r="F173" s="105">
        <v>0.95</v>
      </c>
      <c r="G173" s="149">
        <v>0.9</v>
      </c>
      <c r="H173" s="172">
        <f>G173/F173</f>
        <v>0.94736842105263164</v>
      </c>
      <c r="I173" s="54" t="s">
        <v>639</v>
      </c>
      <c r="J173" s="172">
        <f t="shared" si="39"/>
        <v>0.94736842105263164</v>
      </c>
      <c r="K173" s="185">
        <v>0.95</v>
      </c>
      <c r="L173" s="158">
        <f>(146%+77%+118%+G173)/4</f>
        <v>1.0775000000000001</v>
      </c>
      <c r="M173" s="172">
        <f t="shared" si="40"/>
        <v>1.1342105263157896</v>
      </c>
      <c r="N173" s="182">
        <v>0</v>
      </c>
      <c r="O173" s="195"/>
      <c r="P173" s="194"/>
      <c r="Q173" s="197"/>
      <c r="R173" s="195"/>
      <c r="S173" s="194"/>
      <c r="T173" s="197"/>
      <c r="U173" s="63"/>
      <c r="W173" s="23"/>
      <c r="X173" s="21">
        <f t="shared" ref="X173:X208" si="41">+R173</f>
        <v>0</v>
      </c>
      <c r="Y173" s="21">
        <f t="shared" ref="Y173:Y208" si="42">+P173</f>
        <v>0</v>
      </c>
    </row>
    <row r="174" spans="1:25" ht="78.75" x14ac:dyDescent="0.25">
      <c r="A174" s="215"/>
      <c r="B174" s="199" t="s">
        <v>579</v>
      </c>
      <c r="C174" s="168" t="s">
        <v>102</v>
      </c>
      <c r="D174" s="168" t="s">
        <v>101</v>
      </c>
      <c r="E174" s="168" t="s">
        <v>100</v>
      </c>
      <c r="F174" s="105">
        <v>0.25</v>
      </c>
      <c r="G174" s="149">
        <v>0.15</v>
      </c>
      <c r="H174" s="172">
        <f t="shared" si="38"/>
        <v>0.6</v>
      </c>
      <c r="I174" s="54" t="s">
        <v>748</v>
      </c>
      <c r="J174" s="172">
        <f t="shared" si="39"/>
        <v>0.6</v>
      </c>
      <c r="K174" s="185">
        <v>1</v>
      </c>
      <c r="L174" s="158">
        <f>25%+25%+25%+G174</f>
        <v>0.9</v>
      </c>
      <c r="M174" s="172">
        <f t="shared" si="40"/>
        <v>0.9</v>
      </c>
      <c r="N174" s="182">
        <v>0</v>
      </c>
      <c r="O174" s="195"/>
      <c r="P174" s="194"/>
      <c r="Q174" s="197"/>
      <c r="R174" s="195"/>
      <c r="S174" s="194"/>
      <c r="T174" s="197"/>
      <c r="U174" s="168"/>
      <c r="W174" s="23"/>
      <c r="X174" s="21">
        <f t="shared" si="41"/>
        <v>0</v>
      </c>
      <c r="Y174" s="21">
        <f t="shared" si="42"/>
        <v>0</v>
      </c>
    </row>
    <row r="175" spans="1:25" ht="67.5" x14ac:dyDescent="0.25">
      <c r="A175" s="215"/>
      <c r="B175" s="199"/>
      <c r="C175" s="168" t="s">
        <v>99</v>
      </c>
      <c r="D175" s="168" t="s">
        <v>98</v>
      </c>
      <c r="E175" s="168" t="s">
        <v>454</v>
      </c>
      <c r="F175" s="89" t="s">
        <v>572</v>
      </c>
      <c r="G175" s="157" t="s">
        <v>572</v>
      </c>
      <c r="H175" s="172" t="s">
        <v>572</v>
      </c>
      <c r="I175" s="54"/>
      <c r="J175" s="172" t="str">
        <f t="shared" si="39"/>
        <v>NP</v>
      </c>
      <c r="K175" s="110">
        <v>14</v>
      </c>
      <c r="L175" s="142">
        <f>(12+2)</f>
        <v>14</v>
      </c>
      <c r="M175" s="172">
        <f t="shared" si="40"/>
        <v>1</v>
      </c>
      <c r="N175" s="182">
        <v>0</v>
      </c>
      <c r="O175" s="195"/>
      <c r="P175" s="194"/>
      <c r="Q175" s="197"/>
      <c r="R175" s="195"/>
      <c r="S175" s="194"/>
      <c r="T175" s="197"/>
      <c r="U175" s="168"/>
      <c r="W175" s="23"/>
      <c r="X175" s="21">
        <f t="shared" si="41"/>
        <v>0</v>
      </c>
      <c r="Y175" s="21">
        <f t="shared" si="42"/>
        <v>0</v>
      </c>
    </row>
    <row r="176" spans="1:25" x14ac:dyDescent="0.25">
      <c r="A176" s="216" t="s">
        <v>97</v>
      </c>
      <c r="B176" s="216"/>
      <c r="C176" s="216"/>
      <c r="D176" s="216"/>
      <c r="E176" s="216"/>
      <c r="F176" s="216"/>
      <c r="G176" s="216"/>
      <c r="H176" s="216"/>
      <c r="I176" s="216"/>
      <c r="J176" s="216"/>
      <c r="K176" s="216"/>
      <c r="L176" s="216"/>
      <c r="M176" s="216"/>
      <c r="N176" s="216"/>
      <c r="O176" s="216"/>
      <c r="P176" s="216"/>
      <c r="Q176" s="216"/>
      <c r="R176" s="216"/>
      <c r="S176" s="216"/>
      <c r="T176" s="216"/>
      <c r="U176" s="216"/>
      <c r="W176" s="23"/>
      <c r="X176" s="21">
        <f t="shared" si="41"/>
        <v>0</v>
      </c>
      <c r="Y176" s="21">
        <f t="shared" si="42"/>
        <v>0</v>
      </c>
    </row>
    <row r="177" spans="1:25" ht="56.25" x14ac:dyDescent="0.25">
      <c r="A177" s="215" t="s">
        <v>96</v>
      </c>
      <c r="B177" s="214" t="s">
        <v>95</v>
      </c>
      <c r="C177" s="59" t="s">
        <v>602</v>
      </c>
      <c r="D177" s="168" t="s">
        <v>94</v>
      </c>
      <c r="E177" s="168" t="s">
        <v>93</v>
      </c>
      <c r="F177" s="93">
        <v>1</v>
      </c>
      <c r="G177" s="147">
        <v>1</v>
      </c>
      <c r="H177" s="172">
        <f>G177/F177</f>
        <v>1</v>
      </c>
      <c r="I177" s="54" t="s">
        <v>640</v>
      </c>
      <c r="J177" s="172">
        <f t="shared" ref="J177:J184" si="43">H177</f>
        <v>1</v>
      </c>
      <c r="K177" s="182">
        <v>4</v>
      </c>
      <c r="L177" s="132">
        <f>0.5+1+0.8+G177</f>
        <v>3.3</v>
      </c>
      <c r="M177" s="172">
        <f>L177/K177</f>
        <v>0.82499999999999996</v>
      </c>
      <c r="N177" s="182">
        <v>0</v>
      </c>
      <c r="O177" s="195">
        <v>2077242571</v>
      </c>
      <c r="P177" s="194">
        <v>2095320673.74</v>
      </c>
      <c r="Q177" s="197">
        <f>P177/O177</f>
        <v>1.0087029329132693</v>
      </c>
      <c r="R177" s="195">
        <v>8308970283</v>
      </c>
      <c r="S177" s="194">
        <v>8518683450.6800003</v>
      </c>
      <c r="T177" s="197">
        <f>S177/R177</f>
        <v>1.0252393690839248</v>
      </c>
      <c r="U177" s="168"/>
      <c r="W177" s="23"/>
      <c r="X177" s="21">
        <f t="shared" si="41"/>
        <v>8308970283</v>
      </c>
      <c r="Y177" s="21">
        <f t="shared" si="42"/>
        <v>2095320673.74</v>
      </c>
    </row>
    <row r="178" spans="1:25" ht="67.5" x14ac:dyDescent="0.25">
      <c r="A178" s="215"/>
      <c r="B178" s="214"/>
      <c r="C178" s="59" t="s">
        <v>92</v>
      </c>
      <c r="D178" s="168" t="s">
        <v>91</v>
      </c>
      <c r="E178" s="168" t="s">
        <v>90</v>
      </c>
      <c r="F178" s="93">
        <v>1</v>
      </c>
      <c r="G178" s="147">
        <v>0.2</v>
      </c>
      <c r="H178" s="172">
        <f>G178/F178</f>
        <v>0.2</v>
      </c>
      <c r="I178" s="54" t="s">
        <v>749</v>
      </c>
      <c r="J178" s="172">
        <f t="shared" si="43"/>
        <v>0.2</v>
      </c>
      <c r="K178" s="182">
        <v>2</v>
      </c>
      <c r="L178" s="142">
        <f>1+G178</f>
        <v>1.2</v>
      </c>
      <c r="M178" s="172">
        <f t="shared" ref="M178:M184" si="44">L178/K178</f>
        <v>0.6</v>
      </c>
      <c r="N178" s="182">
        <v>0</v>
      </c>
      <c r="O178" s="195"/>
      <c r="P178" s="194"/>
      <c r="Q178" s="197"/>
      <c r="R178" s="195"/>
      <c r="S178" s="194"/>
      <c r="T178" s="197"/>
      <c r="U178" s="168"/>
      <c r="W178" s="23"/>
      <c r="X178" s="21">
        <f t="shared" si="41"/>
        <v>0</v>
      </c>
      <c r="Y178" s="21">
        <f t="shared" si="42"/>
        <v>0</v>
      </c>
    </row>
    <row r="179" spans="1:25" ht="67.5" x14ac:dyDescent="0.25">
      <c r="A179" s="215"/>
      <c r="B179" s="214"/>
      <c r="C179" s="168" t="s">
        <v>89</v>
      </c>
      <c r="D179" s="168" t="s">
        <v>88</v>
      </c>
      <c r="E179" s="168" t="s">
        <v>87</v>
      </c>
      <c r="F179" s="93">
        <v>10</v>
      </c>
      <c r="G179" s="147">
        <v>10</v>
      </c>
      <c r="H179" s="172">
        <f>G179/F179</f>
        <v>1</v>
      </c>
      <c r="I179" s="54" t="s">
        <v>750</v>
      </c>
      <c r="J179" s="172">
        <f t="shared" si="43"/>
        <v>1</v>
      </c>
      <c r="K179" s="182">
        <v>40</v>
      </c>
      <c r="L179" s="142">
        <f>(10+10+10+G179)</f>
        <v>40</v>
      </c>
      <c r="M179" s="172">
        <f t="shared" si="44"/>
        <v>1</v>
      </c>
      <c r="N179" s="182">
        <v>0</v>
      </c>
      <c r="O179" s="195"/>
      <c r="P179" s="194"/>
      <c r="Q179" s="197"/>
      <c r="R179" s="195"/>
      <c r="S179" s="194"/>
      <c r="T179" s="197"/>
      <c r="U179" s="168"/>
      <c r="W179" s="23"/>
      <c r="X179" s="21">
        <f t="shared" si="41"/>
        <v>0</v>
      </c>
      <c r="Y179" s="21">
        <f t="shared" si="42"/>
        <v>0</v>
      </c>
    </row>
    <row r="180" spans="1:25" ht="67.5" x14ac:dyDescent="0.25">
      <c r="A180" s="215"/>
      <c r="B180" s="214"/>
      <c r="C180" s="168" t="s">
        <v>507</v>
      </c>
      <c r="D180" s="168" t="s">
        <v>508</v>
      </c>
      <c r="E180" s="168" t="s">
        <v>4</v>
      </c>
      <c r="F180" s="93">
        <v>2</v>
      </c>
      <c r="G180" s="147">
        <v>2</v>
      </c>
      <c r="H180" s="172">
        <f t="shared" ref="H180:H184" si="45">G180/F180</f>
        <v>1</v>
      </c>
      <c r="I180" s="54" t="s">
        <v>641</v>
      </c>
      <c r="J180" s="172">
        <f t="shared" si="43"/>
        <v>1</v>
      </c>
      <c r="K180" s="182">
        <v>5</v>
      </c>
      <c r="L180" s="142">
        <f>1+3+G180</f>
        <v>6</v>
      </c>
      <c r="M180" s="172">
        <f t="shared" si="44"/>
        <v>1.2</v>
      </c>
      <c r="N180" s="182">
        <v>0</v>
      </c>
      <c r="O180" s="195"/>
      <c r="P180" s="194"/>
      <c r="Q180" s="197"/>
      <c r="R180" s="195"/>
      <c r="S180" s="194"/>
      <c r="T180" s="197"/>
      <c r="U180" s="63"/>
      <c r="W180" s="23"/>
      <c r="X180" s="21">
        <f t="shared" si="41"/>
        <v>0</v>
      </c>
      <c r="Y180" s="21">
        <f t="shared" si="42"/>
        <v>0</v>
      </c>
    </row>
    <row r="181" spans="1:25" ht="90" x14ac:dyDescent="0.25">
      <c r="A181" s="215"/>
      <c r="B181" s="214"/>
      <c r="C181" s="168" t="s">
        <v>86</v>
      </c>
      <c r="D181" s="168" t="s">
        <v>85</v>
      </c>
      <c r="E181" s="168" t="s">
        <v>84</v>
      </c>
      <c r="F181" s="93">
        <v>1</v>
      </c>
      <c r="G181" s="147">
        <v>1</v>
      </c>
      <c r="H181" s="172">
        <f t="shared" si="45"/>
        <v>1</v>
      </c>
      <c r="I181" s="54" t="s">
        <v>642</v>
      </c>
      <c r="J181" s="172">
        <f t="shared" si="43"/>
        <v>1</v>
      </c>
      <c r="K181" s="182">
        <v>4</v>
      </c>
      <c r="L181" s="142">
        <f>1+1+1+G181</f>
        <v>4</v>
      </c>
      <c r="M181" s="172">
        <f t="shared" si="44"/>
        <v>1</v>
      </c>
      <c r="N181" s="182">
        <v>0</v>
      </c>
      <c r="O181" s="195"/>
      <c r="P181" s="194"/>
      <c r="Q181" s="197"/>
      <c r="R181" s="195"/>
      <c r="S181" s="194"/>
      <c r="T181" s="197"/>
      <c r="U181" s="168"/>
      <c r="W181" s="23"/>
      <c r="X181" s="21">
        <f t="shared" si="41"/>
        <v>0</v>
      </c>
      <c r="Y181" s="21">
        <f t="shared" si="42"/>
        <v>0</v>
      </c>
    </row>
    <row r="182" spans="1:25" ht="67.5" x14ac:dyDescent="0.25">
      <c r="A182" s="215"/>
      <c r="B182" s="214"/>
      <c r="C182" s="168" t="s">
        <v>83</v>
      </c>
      <c r="D182" s="168" t="s">
        <v>82</v>
      </c>
      <c r="E182" s="168" t="s">
        <v>81</v>
      </c>
      <c r="F182" s="93">
        <v>5</v>
      </c>
      <c r="G182" s="147">
        <v>24</v>
      </c>
      <c r="H182" s="172">
        <f t="shared" si="45"/>
        <v>4.8</v>
      </c>
      <c r="I182" s="54" t="s">
        <v>751</v>
      </c>
      <c r="J182" s="172">
        <f t="shared" si="43"/>
        <v>4.8</v>
      </c>
      <c r="K182" s="182">
        <v>41</v>
      </c>
      <c r="L182" s="142">
        <f>11+20+5+G182</f>
        <v>60</v>
      </c>
      <c r="M182" s="172">
        <f t="shared" si="44"/>
        <v>1.4634146341463414</v>
      </c>
      <c r="N182" s="182">
        <v>0</v>
      </c>
      <c r="O182" s="195"/>
      <c r="P182" s="194"/>
      <c r="Q182" s="197"/>
      <c r="R182" s="195"/>
      <c r="S182" s="194"/>
      <c r="T182" s="197"/>
      <c r="U182" s="63"/>
      <c r="W182" s="23"/>
      <c r="X182" s="21">
        <f t="shared" si="41"/>
        <v>0</v>
      </c>
      <c r="Y182" s="21">
        <f t="shared" si="42"/>
        <v>0</v>
      </c>
    </row>
    <row r="183" spans="1:25" ht="33.75" x14ac:dyDescent="0.25">
      <c r="A183" s="215"/>
      <c r="B183" s="214"/>
      <c r="C183" s="168" t="s">
        <v>509</v>
      </c>
      <c r="D183" s="168" t="s">
        <v>139</v>
      </c>
      <c r="E183" s="168" t="s">
        <v>510</v>
      </c>
      <c r="F183" s="97" t="s">
        <v>572</v>
      </c>
      <c r="G183" s="147" t="s">
        <v>572</v>
      </c>
      <c r="H183" s="172" t="s">
        <v>572</v>
      </c>
      <c r="I183" s="54"/>
      <c r="J183" s="172" t="str">
        <f t="shared" si="43"/>
        <v>NP</v>
      </c>
      <c r="K183" s="182">
        <v>1</v>
      </c>
      <c r="L183" s="142">
        <v>1</v>
      </c>
      <c r="M183" s="172">
        <f t="shared" si="44"/>
        <v>1</v>
      </c>
      <c r="N183" s="182"/>
      <c r="O183" s="195"/>
      <c r="P183" s="194"/>
      <c r="Q183" s="197"/>
      <c r="R183" s="195"/>
      <c r="S183" s="194"/>
      <c r="T183" s="197"/>
      <c r="U183" s="55"/>
      <c r="W183" s="23"/>
      <c r="X183" s="21"/>
      <c r="Y183" s="21"/>
    </row>
    <row r="184" spans="1:25" ht="90" x14ac:dyDescent="0.25">
      <c r="A184" s="215"/>
      <c r="B184" s="167" t="s">
        <v>80</v>
      </c>
      <c r="C184" s="168" t="s">
        <v>79</v>
      </c>
      <c r="D184" s="168" t="s">
        <v>78</v>
      </c>
      <c r="E184" s="168" t="s">
        <v>77</v>
      </c>
      <c r="F184" s="93">
        <v>130</v>
      </c>
      <c r="G184" s="147">
        <v>149</v>
      </c>
      <c r="H184" s="172">
        <f t="shared" si="45"/>
        <v>1.1461538461538461</v>
      </c>
      <c r="I184" s="54" t="s">
        <v>643</v>
      </c>
      <c r="J184" s="172">
        <f t="shared" si="43"/>
        <v>1.1461538461538461</v>
      </c>
      <c r="K184" s="182">
        <v>520</v>
      </c>
      <c r="L184" s="142">
        <f>142+131+141+G184</f>
        <v>563</v>
      </c>
      <c r="M184" s="172">
        <f t="shared" si="44"/>
        <v>1.0826923076923076</v>
      </c>
      <c r="N184" s="182">
        <v>0</v>
      </c>
      <c r="O184" s="195"/>
      <c r="P184" s="194"/>
      <c r="Q184" s="197"/>
      <c r="R184" s="195"/>
      <c r="S184" s="194"/>
      <c r="T184" s="197"/>
      <c r="U184" s="63"/>
      <c r="W184" s="23"/>
      <c r="X184" s="21">
        <f t="shared" si="41"/>
        <v>0</v>
      </c>
      <c r="Y184" s="21">
        <f t="shared" si="42"/>
        <v>0</v>
      </c>
    </row>
    <row r="185" spans="1:25" x14ac:dyDescent="0.25">
      <c r="A185" s="261" t="s">
        <v>76</v>
      </c>
      <c r="B185" s="261"/>
      <c r="C185" s="261"/>
      <c r="D185" s="261"/>
      <c r="E185" s="261"/>
      <c r="F185" s="261"/>
      <c r="G185" s="261"/>
      <c r="H185" s="261"/>
      <c r="I185" s="261"/>
      <c r="J185" s="261"/>
      <c r="K185" s="261"/>
      <c r="L185" s="261"/>
      <c r="M185" s="261"/>
      <c r="N185" s="261"/>
      <c r="O185" s="261"/>
      <c r="P185" s="261"/>
      <c r="Q185" s="261"/>
      <c r="R185" s="261"/>
      <c r="S185" s="261"/>
      <c r="T185" s="261"/>
      <c r="U185" s="261"/>
      <c r="W185" s="23"/>
      <c r="X185" s="21">
        <f t="shared" si="41"/>
        <v>0</v>
      </c>
      <c r="Y185" s="21">
        <f t="shared" si="42"/>
        <v>0</v>
      </c>
    </row>
    <row r="186" spans="1:25" ht="56.25" x14ac:dyDescent="0.25">
      <c r="A186" s="258" t="s">
        <v>75</v>
      </c>
      <c r="B186" s="214" t="s">
        <v>74</v>
      </c>
      <c r="C186" s="220" t="s">
        <v>73</v>
      </c>
      <c r="D186" s="168" t="s">
        <v>511</v>
      </c>
      <c r="E186" s="168" t="s">
        <v>53</v>
      </c>
      <c r="F186" s="105">
        <v>0.9</v>
      </c>
      <c r="G186" s="153">
        <v>0.9</v>
      </c>
      <c r="H186" s="171">
        <f>G186/F186</f>
        <v>1</v>
      </c>
      <c r="I186" s="54" t="s">
        <v>752</v>
      </c>
      <c r="J186" s="172">
        <f t="shared" ref="J186:J209" si="46">H186</f>
        <v>1</v>
      </c>
      <c r="K186" s="27">
        <v>0.9</v>
      </c>
      <c r="L186" s="172">
        <f>+(75%+90%+84.6%+G186)/4</f>
        <v>0.84899999999999998</v>
      </c>
      <c r="M186" s="172">
        <f t="shared" ref="M186:M209" si="47">L186/K186</f>
        <v>0.94333333333333325</v>
      </c>
      <c r="N186" s="182">
        <v>0</v>
      </c>
      <c r="O186" s="195">
        <v>3847242571</v>
      </c>
      <c r="P186" s="194">
        <v>3841421235.1900001</v>
      </c>
      <c r="Q186" s="197">
        <f>P186/O186</f>
        <v>0.99848688100566352</v>
      </c>
      <c r="R186" s="195">
        <v>15388970283</v>
      </c>
      <c r="S186" s="194">
        <v>15470995866.58</v>
      </c>
      <c r="T186" s="197">
        <f>S186/R186</f>
        <v>1.0053301541345241</v>
      </c>
      <c r="U186" s="168"/>
      <c r="W186" s="23"/>
      <c r="X186" s="21">
        <f t="shared" si="41"/>
        <v>15388970283</v>
      </c>
      <c r="Y186" s="21">
        <f t="shared" si="42"/>
        <v>3841421235.1900001</v>
      </c>
    </row>
    <row r="187" spans="1:25" ht="90" x14ac:dyDescent="0.25">
      <c r="A187" s="259"/>
      <c r="B187" s="214"/>
      <c r="C187" s="220"/>
      <c r="D187" s="168" t="s">
        <v>512</v>
      </c>
      <c r="E187" s="168" t="s">
        <v>53</v>
      </c>
      <c r="F187" s="105">
        <v>0.9</v>
      </c>
      <c r="G187" s="153">
        <v>0.72</v>
      </c>
      <c r="H187" s="171">
        <f t="shared" ref="H187:H209" si="48">G187/F187</f>
        <v>0.79999999999999993</v>
      </c>
      <c r="I187" s="54" t="s">
        <v>753</v>
      </c>
      <c r="J187" s="172">
        <f t="shared" si="46"/>
        <v>0.79999999999999993</v>
      </c>
      <c r="K187" s="27">
        <v>0.9</v>
      </c>
      <c r="L187" s="172">
        <f>+(89%+77%+74%+G187)/4</f>
        <v>0.78</v>
      </c>
      <c r="M187" s="172">
        <f t="shared" si="47"/>
        <v>0.8666666666666667</v>
      </c>
      <c r="N187" s="182"/>
      <c r="O187" s="195"/>
      <c r="P187" s="194"/>
      <c r="Q187" s="197"/>
      <c r="R187" s="195"/>
      <c r="S187" s="194"/>
      <c r="T187" s="197"/>
      <c r="U187" s="168"/>
      <c r="W187" s="23"/>
      <c r="X187" s="21"/>
      <c r="Y187" s="21"/>
    </row>
    <row r="188" spans="1:25" ht="45" x14ac:dyDescent="0.25">
      <c r="A188" s="259"/>
      <c r="B188" s="214"/>
      <c r="C188" s="59" t="s">
        <v>72</v>
      </c>
      <c r="D188" s="168" t="s">
        <v>71</v>
      </c>
      <c r="E188" s="168" t="s">
        <v>53</v>
      </c>
      <c r="F188" s="152">
        <v>2</v>
      </c>
      <c r="G188" s="147">
        <v>0</v>
      </c>
      <c r="H188" s="171">
        <f t="shared" si="48"/>
        <v>0</v>
      </c>
      <c r="I188" s="54" t="s">
        <v>754</v>
      </c>
      <c r="J188" s="172">
        <f t="shared" si="46"/>
        <v>0</v>
      </c>
      <c r="K188" s="138" t="s">
        <v>572</v>
      </c>
      <c r="L188" s="138" t="s">
        <v>572</v>
      </c>
      <c r="M188" s="172" t="s">
        <v>572</v>
      </c>
      <c r="N188" s="182">
        <v>0</v>
      </c>
      <c r="O188" s="195"/>
      <c r="P188" s="194"/>
      <c r="Q188" s="197"/>
      <c r="R188" s="195"/>
      <c r="S188" s="194"/>
      <c r="T188" s="197"/>
      <c r="U188" s="168"/>
      <c r="W188" s="23"/>
      <c r="X188" s="21">
        <f t="shared" si="41"/>
        <v>0</v>
      </c>
      <c r="Y188" s="21">
        <f t="shared" si="42"/>
        <v>0</v>
      </c>
    </row>
    <row r="189" spans="1:25" ht="45" x14ac:dyDescent="0.25">
      <c r="A189" s="259"/>
      <c r="B189" s="214"/>
      <c r="C189" s="168" t="s">
        <v>70</v>
      </c>
      <c r="D189" s="168" t="s">
        <v>69</v>
      </c>
      <c r="E189" s="168" t="s">
        <v>53</v>
      </c>
      <c r="F189" s="105">
        <v>0.1</v>
      </c>
      <c r="G189" s="154">
        <v>5.8999999999999997E-2</v>
      </c>
      <c r="H189" s="171">
        <f t="shared" si="48"/>
        <v>0.59</v>
      </c>
      <c r="I189" s="54" t="s">
        <v>755</v>
      </c>
      <c r="J189" s="172">
        <f t="shared" si="46"/>
        <v>0.59</v>
      </c>
      <c r="K189" s="27">
        <v>1</v>
      </c>
      <c r="L189" s="172">
        <f>(50%+20%+20%+G189)</f>
        <v>0.95899999999999985</v>
      </c>
      <c r="M189" s="172">
        <f t="shared" si="47"/>
        <v>0.95899999999999985</v>
      </c>
      <c r="N189" s="182">
        <v>0</v>
      </c>
      <c r="O189" s="195"/>
      <c r="P189" s="194"/>
      <c r="Q189" s="197"/>
      <c r="R189" s="195"/>
      <c r="S189" s="194"/>
      <c r="T189" s="197"/>
      <c r="U189" s="168"/>
      <c r="W189" s="23"/>
      <c r="X189" s="21">
        <f t="shared" si="41"/>
        <v>0</v>
      </c>
      <c r="Y189" s="21">
        <f t="shared" si="42"/>
        <v>0</v>
      </c>
    </row>
    <row r="190" spans="1:25" ht="56.25" x14ac:dyDescent="0.25">
      <c r="A190" s="259"/>
      <c r="B190" s="214" t="s">
        <v>68</v>
      </c>
      <c r="C190" s="264" t="s">
        <v>575</v>
      </c>
      <c r="D190" s="168" t="s">
        <v>576</v>
      </c>
      <c r="E190" s="168" t="s">
        <v>53</v>
      </c>
      <c r="F190" s="105">
        <v>1</v>
      </c>
      <c r="G190" s="154">
        <v>0.496</v>
      </c>
      <c r="H190" s="171">
        <f t="shared" si="48"/>
        <v>0.496</v>
      </c>
      <c r="I190" s="54" t="s">
        <v>756</v>
      </c>
      <c r="J190" s="172">
        <f t="shared" si="46"/>
        <v>0.496</v>
      </c>
      <c r="K190" s="27">
        <v>1</v>
      </c>
      <c r="L190" s="172">
        <f>+(100%+108%+G190)/3</f>
        <v>0.85866666666666669</v>
      </c>
      <c r="M190" s="172">
        <f t="shared" si="47"/>
        <v>0.85866666666666669</v>
      </c>
      <c r="N190" s="182">
        <v>0</v>
      </c>
      <c r="O190" s="195"/>
      <c r="P190" s="194"/>
      <c r="Q190" s="197"/>
      <c r="R190" s="195"/>
      <c r="S190" s="194"/>
      <c r="T190" s="197"/>
      <c r="U190" s="63"/>
      <c r="W190" s="23"/>
      <c r="X190" s="21">
        <f t="shared" si="41"/>
        <v>0</v>
      </c>
      <c r="Y190" s="21">
        <f t="shared" si="42"/>
        <v>0</v>
      </c>
    </row>
    <row r="191" spans="1:25" ht="45" x14ac:dyDescent="0.25">
      <c r="A191" s="259"/>
      <c r="B191" s="214"/>
      <c r="C191" s="264"/>
      <c r="D191" s="168" t="s">
        <v>577</v>
      </c>
      <c r="E191" s="168" t="s">
        <v>53</v>
      </c>
      <c r="F191" s="105">
        <v>1</v>
      </c>
      <c r="G191" s="153">
        <v>0.5</v>
      </c>
      <c r="H191" s="171">
        <f t="shared" si="48"/>
        <v>0.5</v>
      </c>
      <c r="I191" s="54" t="s">
        <v>757</v>
      </c>
      <c r="J191" s="172">
        <f t="shared" si="46"/>
        <v>0.5</v>
      </c>
      <c r="K191" s="27">
        <v>1</v>
      </c>
      <c r="L191" s="36">
        <f>+(100%+126%+G191)/3</f>
        <v>0.91999999999999993</v>
      </c>
      <c r="M191" s="172">
        <f t="shared" si="47"/>
        <v>0.91999999999999993</v>
      </c>
      <c r="N191" s="182"/>
      <c r="O191" s="195"/>
      <c r="P191" s="194"/>
      <c r="Q191" s="197"/>
      <c r="R191" s="195"/>
      <c r="S191" s="194"/>
      <c r="T191" s="197"/>
      <c r="U191" s="63"/>
      <c r="W191" s="23"/>
      <c r="X191" s="21"/>
      <c r="Y191" s="21"/>
    </row>
    <row r="192" spans="1:25" ht="67.5" x14ac:dyDescent="0.25">
      <c r="A192" s="259"/>
      <c r="B192" s="214"/>
      <c r="C192" s="264"/>
      <c r="D192" s="168" t="s">
        <v>514</v>
      </c>
      <c r="E192" s="168" t="s">
        <v>513</v>
      </c>
      <c r="F192" s="106">
        <v>986</v>
      </c>
      <c r="G192" s="147">
        <v>189</v>
      </c>
      <c r="H192" s="171">
        <f t="shared" si="48"/>
        <v>0.19168356997971603</v>
      </c>
      <c r="I192" s="54" t="s">
        <v>758</v>
      </c>
      <c r="J192" s="172">
        <v>1</v>
      </c>
      <c r="K192" s="168">
        <v>3044</v>
      </c>
      <c r="L192" s="168">
        <f>(1526+485+574+G192)</f>
        <v>2774</v>
      </c>
      <c r="M192" s="172">
        <f t="shared" si="47"/>
        <v>0.91130091984231276</v>
      </c>
      <c r="N192" s="182"/>
      <c r="O192" s="195"/>
      <c r="P192" s="194"/>
      <c r="Q192" s="197"/>
      <c r="R192" s="195"/>
      <c r="S192" s="194"/>
      <c r="T192" s="197"/>
      <c r="U192" s="63"/>
      <c r="W192" s="23"/>
      <c r="X192" s="21"/>
      <c r="Y192" s="21"/>
    </row>
    <row r="193" spans="1:25" ht="45" x14ac:dyDescent="0.25">
      <c r="A193" s="259"/>
      <c r="B193" s="214"/>
      <c r="C193" s="264" t="s">
        <v>792</v>
      </c>
      <c r="D193" s="168" t="s">
        <v>67</v>
      </c>
      <c r="E193" s="168" t="s">
        <v>53</v>
      </c>
      <c r="F193" s="105">
        <v>1</v>
      </c>
      <c r="G193" s="153">
        <v>0.54</v>
      </c>
      <c r="H193" s="171">
        <f t="shared" si="48"/>
        <v>0.54</v>
      </c>
      <c r="I193" s="54" t="s">
        <v>759</v>
      </c>
      <c r="J193" s="172">
        <f t="shared" si="46"/>
        <v>0.54</v>
      </c>
      <c r="K193" s="158">
        <v>1</v>
      </c>
      <c r="L193" s="171">
        <f>+(94%+100%+120.8%+G193)/4</f>
        <v>0.92199999999999993</v>
      </c>
      <c r="M193" s="172">
        <f t="shared" si="47"/>
        <v>0.92199999999999993</v>
      </c>
      <c r="N193" s="182">
        <v>0</v>
      </c>
      <c r="O193" s="195"/>
      <c r="P193" s="194"/>
      <c r="Q193" s="197"/>
      <c r="R193" s="195"/>
      <c r="S193" s="194"/>
      <c r="T193" s="197"/>
      <c r="U193" s="63"/>
      <c r="W193" s="23"/>
      <c r="X193" s="21">
        <f t="shared" si="41"/>
        <v>0</v>
      </c>
      <c r="Y193" s="21">
        <f t="shared" si="42"/>
        <v>0</v>
      </c>
    </row>
    <row r="194" spans="1:25" ht="22.5" x14ac:dyDescent="0.25">
      <c r="A194" s="259"/>
      <c r="B194" s="214"/>
      <c r="C194" s="264"/>
      <c r="D194" s="168" t="s">
        <v>66</v>
      </c>
      <c r="E194" s="168" t="s">
        <v>53</v>
      </c>
      <c r="F194" s="105">
        <v>1</v>
      </c>
      <c r="G194" s="153">
        <v>1</v>
      </c>
      <c r="H194" s="171">
        <f t="shared" si="48"/>
        <v>1</v>
      </c>
      <c r="I194" s="54" t="s">
        <v>760</v>
      </c>
      <c r="J194" s="172">
        <f t="shared" si="46"/>
        <v>1</v>
      </c>
      <c r="K194" s="158">
        <f>([1]linea5!F66+[1]linea5!I66+[1]linea5!L66+[1]linea5!O66)/4</f>
        <v>1</v>
      </c>
      <c r="L194" s="171">
        <f>(100%+100%+77.1%+G194)/4</f>
        <v>0.94274999999999998</v>
      </c>
      <c r="M194" s="172">
        <f t="shared" si="47"/>
        <v>0.94274999999999998</v>
      </c>
      <c r="N194" s="182">
        <v>0</v>
      </c>
      <c r="O194" s="195"/>
      <c r="P194" s="194"/>
      <c r="Q194" s="197"/>
      <c r="R194" s="195"/>
      <c r="S194" s="194"/>
      <c r="T194" s="197"/>
      <c r="U194" s="168"/>
      <c r="W194" s="23"/>
      <c r="X194" s="21">
        <f t="shared" si="41"/>
        <v>0</v>
      </c>
      <c r="Y194" s="21">
        <f t="shared" si="42"/>
        <v>0</v>
      </c>
    </row>
    <row r="195" spans="1:25" ht="48" customHeight="1" x14ac:dyDescent="0.25">
      <c r="A195" s="259"/>
      <c r="B195" s="214"/>
      <c r="C195" s="264"/>
      <c r="D195" s="168" t="s">
        <v>65</v>
      </c>
      <c r="E195" s="183" t="s">
        <v>53</v>
      </c>
      <c r="F195" s="105">
        <v>1</v>
      </c>
      <c r="G195" s="153">
        <v>0.92</v>
      </c>
      <c r="H195" s="171">
        <f t="shared" si="48"/>
        <v>0.92</v>
      </c>
      <c r="I195" s="54" t="s">
        <v>761</v>
      </c>
      <c r="J195" s="172">
        <f t="shared" si="46"/>
        <v>0.92</v>
      </c>
      <c r="K195" s="158">
        <v>1</v>
      </c>
      <c r="L195" s="171">
        <f>(89%+152%+84.8%+G195)/4</f>
        <v>1.0445</v>
      </c>
      <c r="M195" s="172">
        <f t="shared" si="47"/>
        <v>1.0445</v>
      </c>
      <c r="N195" s="182">
        <v>0</v>
      </c>
      <c r="O195" s="195"/>
      <c r="P195" s="194"/>
      <c r="Q195" s="197"/>
      <c r="R195" s="195"/>
      <c r="S195" s="194"/>
      <c r="T195" s="197"/>
      <c r="U195" s="168"/>
      <c r="W195" s="23"/>
      <c r="X195" s="21">
        <f t="shared" si="41"/>
        <v>0</v>
      </c>
      <c r="Y195" s="21">
        <f t="shared" si="42"/>
        <v>0</v>
      </c>
    </row>
    <row r="196" spans="1:25" ht="67.5" x14ac:dyDescent="0.25">
      <c r="A196" s="259"/>
      <c r="B196" s="214"/>
      <c r="C196" s="264"/>
      <c r="D196" s="168" t="s">
        <v>515</v>
      </c>
      <c r="E196" s="183" t="s">
        <v>513</v>
      </c>
      <c r="F196" s="104">
        <v>824</v>
      </c>
      <c r="G196" s="147">
        <v>1409</v>
      </c>
      <c r="H196" s="171">
        <f t="shared" si="48"/>
        <v>1.7099514563106797</v>
      </c>
      <c r="I196" s="54" t="s">
        <v>762</v>
      </c>
      <c r="J196" s="172">
        <f t="shared" si="46"/>
        <v>1.7099514563106797</v>
      </c>
      <c r="K196" s="132">
        <v>7500</v>
      </c>
      <c r="L196" s="82">
        <f>1618+2176+2021+G196</f>
        <v>7224</v>
      </c>
      <c r="M196" s="172">
        <f t="shared" si="47"/>
        <v>0.96319999999999995</v>
      </c>
      <c r="N196" s="182"/>
      <c r="O196" s="195"/>
      <c r="P196" s="194"/>
      <c r="Q196" s="197"/>
      <c r="R196" s="195"/>
      <c r="S196" s="194"/>
      <c r="T196" s="197"/>
      <c r="U196" s="63"/>
      <c r="W196" s="23"/>
      <c r="X196" s="21"/>
      <c r="Y196" s="21"/>
    </row>
    <row r="197" spans="1:25" ht="78.75" x14ac:dyDescent="0.25">
      <c r="A197" s="259"/>
      <c r="B197" s="214"/>
      <c r="C197" s="59" t="s">
        <v>793</v>
      </c>
      <c r="D197" s="168" t="s">
        <v>516</v>
      </c>
      <c r="E197" s="183" t="s">
        <v>513</v>
      </c>
      <c r="F197" s="104">
        <v>613</v>
      </c>
      <c r="G197" s="147">
        <v>608</v>
      </c>
      <c r="H197" s="171">
        <f t="shared" si="48"/>
        <v>0.99184339314845027</v>
      </c>
      <c r="I197" s="54" t="s">
        <v>763</v>
      </c>
      <c r="J197" s="172">
        <f t="shared" si="46"/>
        <v>0.99184339314845027</v>
      </c>
      <c r="K197" s="142">
        <v>2700</v>
      </c>
      <c r="L197" s="82">
        <f>660+829+748+G197</f>
        <v>2845</v>
      </c>
      <c r="M197" s="172">
        <f t="shared" si="47"/>
        <v>1.0537037037037038</v>
      </c>
      <c r="N197" s="182">
        <v>0</v>
      </c>
      <c r="O197" s="195"/>
      <c r="P197" s="194"/>
      <c r="Q197" s="197"/>
      <c r="R197" s="195"/>
      <c r="S197" s="194"/>
      <c r="T197" s="197"/>
      <c r="U197" s="63"/>
      <c r="W197" s="23"/>
      <c r="X197" s="21">
        <f t="shared" si="41"/>
        <v>0</v>
      </c>
      <c r="Y197" s="21">
        <f t="shared" si="42"/>
        <v>0</v>
      </c>
    </row>
    <row r="198" spans="1:25" ht="78.75" x14ac:dyDescent="0.25">
      <c r="A198" s="259"/>
      <c r="B198" s="214"/>
      <c r="C198" s="59" t="s">
        <v>794</v>
      </c>
      <c r="D198" s="168" t="s">
        <v>518</v>
      </c>
      <c r="E198" s="183" t="s">
        <v>513</v>
      </c>
      <c r="F198" s="104">
        <v>142</v>
      </c>
      <c r="G198" s="147">
        <v>484</v>
      </c>
      <c r="H198" s="171">
        <f t="shared" si="48"/>
        <v>3.408450704225352</v>
      </c>
      <c r="I198" s="54" t="s">
        <v>764</v>
      </c>
      <c r="J198" s="172">
        <f t="shared" si="46"/>
        <v>3.408450704225352</v>
      </c>
      <c r="K198" s="142">
        <v>950</v>
      </c>
      <c r="L198" s="82">
        <f>174+172+406+G198</f>
        <v>1236</v>
      </c>
      <c r="M198" s="172">
        <f t="shared" si="47"/>
        <v>1.3010526315789475</v>
      </c>
      <c r="N198" s="182">
        <v>0</v>
      </c>
      <c r="O198" s="195"/>
      <c r="P198" s="194"/>
      <c r="Q198" s="197"/>
      <c r="R198" s="195"/>
      <c r="S198" s="194"/>
      <c r="T198" s="197"/>
      <c r="U198" s="63"/>
      <c r="W198" s="23"/>
      <c r="X198" s="21">
        <f t="shared" si="41"/>
        <v>0</v>
      </c>
      <c r="Y198" s="21">
        <f t="shared" si="42"/>
        <v>0</v>
      </c>
    </row>
    <row r="199" spans="1:25" ht="33.75" x14ac:dyDescent="0.25">
      <c r="A199" s="259"/>
      <c r="B199" s="214"/>
      <c r="C199" s="59" t="s">
        <v>64</v>
      </c>
      <c r="D199" s="168" t="s">
        <v>63</v>
      </c>
      <c r="E199" s="183" t="s">
        <v>53</v>
      </c>
      <c r="F199" s="105">
        <v>0.9</v>
      </c>
      <c r="G199" s="149">
        <v>0.9</v>
      </c>
      <c r="H199" s="171">
        <f t="shared" si="48"/>
        <v>1</v>
      </c>
      <c r="I199" s="54" t="s">
        <v>765</v>
      </c>
      <c r="J199" s="172">
        <f t="shared" si="46"/>
        <v>1</v>
      </c>
      <c r="K199" s="27">
        <f>SUM([1]linea5!F70:O70)/4</f>
        <v>0.9</v>
      </c>
      <c r="L199" s="172">
        <f>(90%+90%+90%+G199)/4</f>
        <v>0.9</v>
      </c>
      <c r="M199" s="172">
        <f t="shared" si="47"/>
        <v>1</v>
      </c>
      <c r="N199" s="182">
        <v>0</v>
      </c>
      <c r="O199" s="195"/>
      <c r="P199" s="194"/>
      <c r="Q199" s="197"/>
      <c r="R199" s="195"/>
      <c r="S199" s="194"/>
      <c r="T199" s="197"/>
      <c r="U199" s="55"/>
      <c r="W199" s="23"/>
      <c r="X199" s="21">
        <f t="shared" si="41"/>
        <v>0</v>
      </c>
      <c r="Y199" s="21">
        <f t="shared" si="42"/>
        <v>0</v>
      </c>
    </row>
    <row r="200" spans="1:25" ht="33.75" x14ac:dyDescent="0.25">
      <c r="A200" s="259"/>
      <c r="B200" s="214"/>
      <c r="C200" s="59" t="s">
        <v>795</v>
      </c>
      <c r="D200" s="168" t="s">
        <v>62</v>
      </c>
      <c r="E200" s="183" t="s">
        <v>513</v>
      </c>
      <c r="F200" s="104">
        <v>246</v>
      </c>
      <c r="G200" s="147">
        <v>255</v>
      </c>
      <c r="H200" s="171">
        <f t="shared" si="48"/>
        <v>1.0365853658536586</v>
      </c>
      <c r="I200" s="54" t="s">
        <v>766</v>
      </c>
      <c r="J200" s="172">
        <f t="shared" si="46"/>
        <v>1.0365853658536586</v>
      </c>
      <c r="K200" s="142">
        <v>1250</v>
      </c>
      <c r="L200" s="82">
        <f>263+363+277+G200</f>
        <v>1158</v>
      </c>
      <c r="M200" s="172">
        <f t="shared" si="47"/>
        <v>0.9264</v>
      </c>
      <c r="N200" s="182">
        <v>0</v>
      </c>
      <c r="O200" s="195"/>
      <c r="P200" s="194"/>
      <c r="Q200" s="197"/>
      <c r="R200" s="195"/>
      <c r="S200" s="194"/>
      <c r="T200" s="197"/>
      <c r="U200" s="63"/>
      <c r="W200" s="23"/>
      <c r="X200" s="21">
        <f t="shared" si="41"/>
        <v>0</v>
      </c>
      <c r="Y200" s="21">
        <f t="shared" si="42"/>
        <v>0</v>
      </c>
    </row>
    <row r="201" spans="1:25" ht="56.25" x14ac:dyDescent="0.25">
      <c r="A201" s="259"/>
      <c r="B201" s="214"/>
      <c r="C201" s="59" t="s">
        <v>796</v>
      </c>
      <c r="D201" s="168" t="s">
        <v>517</v>
      </c>
      <c r="E201" s="168" t="s">
        <v>513</v>
      </c>
      <c r="F201" s="104">
        <v>57</v>
      </c>
      <c r="G201" s="147">
        <v>101</v>
      </c>
      <c r="H201" s="171">
        <f t="shared" si="48"/>
        <v>1.7719298245614035</v>
      </c>
      <c r="I201" s="54" t="s">
        <v>767</v>
      </c>
      <c r="J201" s="172">
        <f t="shared" si="46"/>
        <v>1.7719298245614035</v>
      </c>
      <c r="K201" s="142">
        <v>290</v>
      </c>
      <c r="L201" s="82">
        <f>28+103+57+G201</f>
        <v>289</v>
      </c>
      <c r="M201" s="172">
        <f>L201/K201</f>
        <v>0.99655172413793103</v>
      </c>
      <c r="N201" s="182">
        <v>0</v>
      </c>
      <c r="O201" s="195"/>
      <c r="P201" s="194"/>
      <c r="Q201" s="197"/>
      <c r="R201" s="195"/>
      <c r="S201" s="194"/>
      <c r="T201" s="197"/>
      <c r="U201" s="63"/>
      <c r="W201" s="23"/>
      <c r="X201" s="21">
        <f t="shared" si="41"/>
        <v>0</v>
      </c>
      <c r="Y201" s="21">
        <f t="shared" si="42"/>
        <v>0</v>
      </c>
    </row>
    <row r="202" spans="1:25" ht="45" x14ac:dyDescent="0.25">
      <c r="A202" s="259"/>
      <c r="B202" s="214"/>
      <c r="C202" s="59" t="s">
        <v>519</v>
      </c>
      <c r="D202" s="168" t="s">
        <v>520</v>
      </c>
      <c r="E202" s="168" t="s">
        <v>521</v>
      </c>
      <c r="F202" s="107">
        <v>1</v>
      </c>
      <c r="G202" s="149">
        <v>1</v>
      </c>
      <c r="H202" s="171">
        <f t="shared" si="48"/>
        <v>1</v>
      </c>
      <c r="I202" s="54" t="s">
        <v>768</v>
      </c>
      <c r="J202" s="172">
        <f t="shared" si="46"/>
        <v>1</v>
      </c>
      <c r="K202" s="27">
        <v>1</v>
      </c>
      <c r="L202" s="172">
        <f>(100%+100%+82%+G202)/4</f>
        <v>0.95499999999999996</v>
      </c>
      <c r="M202" s="172">
        <f t="shared" si="47"/>
        <v>0.95499999999999996</v>
      </c>
      <c r="N202" s="182">
        <v>0</v>
      </c>
      <c r="O202" s="195"/>
      <c r="P202" s="194"/>
      <c r="Q202" s="197"/>
      <c r="R202" s="195"/>
      <c r="S202" s="194"/>
      <c r="T202" s="197"/>
      <c r="U202" s="168"/>
      <c r="W202" s="23"/>
      <c r="X202" s="21">
        <f t="shared" si="41"/>
        <v>0</v>
      </c>
      <c r="Y202" s="21">
        <f t="shared" si="42"/>
        <v>0</v>
      </c>
    </row>
    <row r="203" spans="1:25" ht="67.5" x14ac:dyDescent="0.25">
      <c r="A203" s="259"/>
      <c r="B203" s="214"/>
      <c r="C203" s="59" t="s">
        <v>578</v>
      </c>
      <c r="D203" s="168" t="s">
        <v>522</v>
      </c>
      <c r="E203" s="183" t="s">
        <v>513</v>
      </c>
      <c r="F203" s="104">
        <v>36</v>
      </c>
      <c r="G203" s="147">
        <v>1</v>
      </c>
      <c r="H203" s="171">
        <f t="shared" si="48"/>
        <v>2.7777777777777776E-2</v>
      </c>
      <c r="I203" s="54" t="s">
        <v>769</v>
      </c>
      <c r="J203" s="172">
        <f t="shared" si="46"/>
        <v>2.7777777777777776E-2</v>
      </c>
      <c r="K203" s="142">
        <v>200</v>
      </c>
      <c r="L203" s="82">
        <f>88+58+45+G203</f>
        <v>192</v>
      </c>
      <c r="M203" s="172">
        <f t="shared" si="47"/>
        <v>0.96</v>
      </c>
      <c r="N203" s="182">
        <v>0</v>
      </c>
      <c r="O203" s="195"/>
      <c r="P203" s="194"/>
      <c r="Q203" s="197"/>
      <c r="R203" s="195"/>
      <c r="S203" s="194"/>
      <c r="T203" s="197"/>
      <c r="U203" s="63"/>
      <c r="W203" s="23"/>
      <c r="X203" s="21">
        <f t="shared" si="41"/>
        <v>0</v>
      </c>
      <c r="Y203" s="21">
        <f t="shared" si="42"/>
        <v>0</v>
      </c>
    </row>
    <row r="204" spans="1:25" ht="45" x14ac:dyDescent="0.25">
      <c r="A204" s="259"/>
      <c r="B204" s="214"/>
      <c r="C204" s="168" t="s">
        <v>61</v>
      </c>
      <c r="D204" s="168" t="s">
        <v>60</v>
      </c>
      <c r="E204" s="183" t="s">
        <v>53</v>
      </c>
      <c r="F204" s="107">
        <v>1</v>
      </c>
      <c r="G204" s="155">
        <v>1</v>
      </c>
      <c r="H204" s="171">
        <f t="shared" si="48"/>
        <v>1</v>
      </c>
      <c r="I204" s="54" t="s">
        <v>770</v>
      </c>
      <c r="J204" s="172">
        <f t="shared" si="46"/>
        <v>1</v>
      </c>
      <c r="K204" s="27">
        <f>SUM([1]linea5!F75:O75)/4</f>
        <v>1</v>
      </c>
      <c r="L204" s="172">
        <f>+(90%+100%+97.4%+G204)/4</f>
        <v>0.96850000000000003</v>
      </c>
      <c r="M204" s="172">
        <f t="shared" si="47"/>
        <v>0.96850000000000003</v>
      </c>
      <c r="N204" s="182">
        <v>0</v>
      </c>
      <c r="O204" s="195"/>
      <c r="P204" s="194"/>
      <c r="Q204" s="197"/>
      <c r="R204" s="195"/>
      <c r="S204" s="194"/>
      <c r="T204" s="197"/>
      <c r="U204" s="168"/>
      <c r="W204" s="23"/>
      <c r="X204" s="21">
        <f t="shared" si="41"/>
        <v>0</v>
      </c>
      <c r="Y204" s="21">
        <f t="shared" si="42"/>
        <v>0</v>
      </c>
    </row>
    <row r="205" spans="1:25" ht="33.75" x14ac:dyDescent="0.25">
      <c r="A205" s="259"/>
      <c r="B205" s="214" t="s">
        <v>59</v>
      </c>
      <c r="C205" s="168" t="s">
        <v>58</v>
      </c>
      <c r="D205" s="168" t="s">
        <v>57</v>
      </c>
      <c r="E205" s="168" t="s">
        <v>53</v>
      </c>
      <c r="F205" s="107">
        <v>1</v>
      </c>
      <c r="G205" s="155">
        <v>1</v>
      </c>
      <c r="H205" s="171">
        <f t="shared" si="48"/>
        <v>1</v>
      </c>
      <c r="I205" s="54" t="s">
        <v>771</v>
      </c>
      <c r="J205" s="172">
        <f t="shared" si="46"/>
        <v>1</v>
      </c>
      <c r="K205" s="27">
        <f>SUM([1]linea5!F76:O76)/4</f>
        <v>1</v>
      </c>
      <c r="L205" s="172">
        <f>(92%+100%+90.3%+G205)/4</f>
        <v>0.95574999999999999</v>
      </c>
      <c r="M205" s="172">
        <f t="shared" si="47"/>
        <v>0.95574999999999999</v>
      </c>
      <c r="N205" s="182">
        <v>0</v>
      </c>
      <c r="O205" s="195"/>
      <c r="P205" s="194"/>
      <c r="Q205" s="197"/>
      <c r="R205" s="195"/>
      <c r="S205" s="194"/>
      <c r="T205" s="197"/>
      <c r="U205" s="168"/>
      <c r="W205" s="23"/>
      <c r="X205" s="21">
        <f t="shared" si="41"/>
        <v>0</v>
      </c>
      <c r="Y205" s="21">
        <f t="shared" si="42"/>
        <v>0</v>
      </c>
    </row>
    <row r="206" spans="1:25" ht="33.75" x14ac:dyDescent="0.25">
      <c r="A206" s="259"/>
      <c r="B206" s="214"/>
      <c r="C206" s="168" t="s">
        <v>523</v>
      </c>
      <c r="D206" s="168" t="s">
        <v>56</v>
      </c>
      <c r="E206" s="168" t="s">
        <v>53</v>
      </c>
      <c r="F206" s="105">
        <v>1</v>
      </c>
      <c r="G206" s="156">
        <v>0.88690000000000002</v>
      </c>
      <c r="H206" s="171">
        <f t="shared" si="48"/>
        <v>0.88690000000000002</v>
      </c>
      <c r="I206" s="54" t="s">
        <v>772</v>
      </c>
      <c r="J206" s="172">
        <f t="shared" si="46"/>
        <v>0.88690000000000002</v>
      </c>
      <c r="K206" s="27">
        <f>SUM([1]linea5!F77:O77)/4</f>
        <v>1</v>
      </c>
      <c r="L206" s="172">
        <f>(100%+100%+90.37%+G206)/4</f>
        <v>0.9476500000000001</v>
      </c>
      <c r="M206" s="172">
        <f t="shared" si="47"/>
        <v>0.9476500000000001</v>
      </c>
      <c r="N206" s="182">
        <v>0</v>
      </c>
      <c r="O206" s="195"/>
      <c r="P206" s="194"/>
      <c r="Q206" s="197"/>
      <c r="R206" s="195"/>
      <c r="S206" s="194"/>
      <c r="T206" s="197"/>
      <c r="U206" s="168"/>
      <c r="W206" s="23"/>
      <c r="X206" s="21">
        <f t="shared" si="41"/>
        <v>0</v>
      </c>
      <c r="Y206" s="21">
        <f t="shared" si="42"/>
        <v>0</v>
      </c>
    </row>
    <row r="207" spans="1:25" ht="45" x14ac:dyDescent="0.25">
      <c r="A207" s="259"/>
      <c r="B207" s="214"/>
      <c r="C207" s="168" t="s">
        <v>524</v>
      </c>
      <c r="D207" s="168" t="s">
        <v>525</v>
      </c>
      <c r="E207" s="183" t="s">
        <v>53</v>
      </c>
      <c r="F207" s="105">
        <v>0.9</v>
      </c>
      <c r="G207" s="149">
        <v>0.9</v>
      </c>
      <c r="H207" s="171">
        <f t="shared" si="48"/>
        <v>1</v>
      </c>
      <c r="I207" s="54" t="s">
        <v>773</v>
      </c>
      <c r="J207" s="172">
        <f t="shared" si="46"/>
        <v>1</v>
      </c>
      <c r="K207" s="27">
        <f>SUM([1]linea5!F78:O78)/4</f>
        <v>0.9</v>
      </c>
      <c r="L207" s="172">
        <f>(90%+90%+90%+G207)/4</f>
        <v>0.9</v>
      </c>
      <c r="M207" s="172">
        <f t="shared" si="47"/>
        <v>1</v>
      </c>
      <c r="N207" s="182">
        <v>0</v>
      </c>
      <c r="O207" s="195"/>
      <c r="P207" s="194"/>
      <c r="Q207" s="197"/>
      <c r="R207" s="195"/>
      <c r="S207" s="194"/>
      <c r="T207" s="197"/>
      <c r="U207" s="168"/>
      <c r="W207" s="23"/>
      <c r="X207" s="21">
        <f t="shared" si="41"/>
        <v>0</v>
      </c>
      <c r="Y207" s="21">
        <f t="shared" si="42"/>
        <v>0</v>
      </c>
    </row>
    <row r="208" spans="1:25" ht="22.5" customHeight="1" x14ac:dyDescent="0.25">
      <c r="A208" s="259"/>
      <c r="B208" s="214"/>
      <c r="C208" s="220" t="s">
        <v>55</v>
      </c>
      <c r="D208" s="168" t="s">
        <v>527</v>
      </c>
      <c r="E208" s="168" t="s">
        <v>53</v>
      </c>
      <c r="F208" s="105">
        <v>1</v>
      </c>
      <c r="G208" s="149">
        <v>1</v>
      </c>
      <c r="H208" s="171">
        <f t="shared" si="48"/>
        <v>1</v>
      </c>
      <c r="I208" s="218" t="s">
        <v>644</v>
      </c>
      <c r="J208" s="172">
        <f t="shared" si="46"/>
        <v>1</v>
      </c>
      <c r="K208" s="27">
        <f>SUM([1]linea5!F79:O79)/4</f>
        <v>1</v>
      </c>
      <c r="L208" s="172">
        <f>(100%+71%+100%+G208)/4</f>
        <v>0.92749999999999999</v>
      </c>
      <c r="M208" s="172">
        <f t="shared" si="47"/>
        <v>0.92749999999999999</v>
      </c>
      <c r="N208" s="182">
        <v>0</v>
      </c>
      <c r="O208" s="195"/>
      <c r="P208" s="194"/>
      <c r="Q208" s="197"/>
      <c r="R208" s="195"/>
      <c r="S208" s="194"/>
      <c r="T208" s="197"/>
      <c r="U208" s="220"/>
      <c r="W208" s="23"/>
      <c r="X208" s="21">
        <f t="shared" si="41"/>
        <v>0</v>
      </c>
      <c r="Y208" s="21">
        <f t="shared" si="42"/>
        <v>0</v>
      </c>
    </row>
    <row r="209" spans="1:27" ht="45" x14ac:dyDescent="0.25">
      <c r="A209" s="260"/>
      <c r="B209" s="214"/>
      <c r="C209" s="220"/>
      <c r="D209" s="168" t="s">
        <v>526</v>
      </c>
      <c r="E209" s="168" t="s">
        <v>53</v>
      </c>
      <c r="F209" s="105">
        <v>1</v>
      </c>
      <c r="G209" s="155">
        <v>1</v>
      </c>
      <c r="H209" s="171">
        <f t="shared" si="48"/>
        <v>1</v>
      </c>
      <c r="I209" s="219"/>
      <c r="J209" s="172">
        <f t="shared" si="46"/>
        <v>1</v>
      </c>
      <c r="K209" s="27">
        <v>1</v>
      </c>
      <c r="L209" s="172">
        <f>(100%+100%+111.2%+G209)/4</f>
        <v>1.028</v>
      </c>
      <c r="M209" s="172">
        <f t="shared" si="47"/>
        <v>1.028</v>
      </c>
      <c r="N209" s="182"/>
      <c r="O209" s="195"/>
      <c r="P209" s="194"/>
      <c r="Q209" s="197"/>
      <c r="R209" s="195"/>
      <c r="S209" s="194"/>
      <c r="T209" s="197"/>
      <c r="U209" s="220"/>
      <c r="W209" s="23"/>
      <c r="X209" s="21"/>
      <c r="Y209" s="21"/>
    </row>
    <row r="210" spans="1:27" x14ac:dyDescent="0.25">
      <c r="A210" s="213" t="s">
        <v>54</v>
      </c>
      <c r="B210" s="213"/>
      <c r="C210" s="213"/>
      <c r="D210" s="213"/>
      <c r="E210" s="213"/>
      <c r="F210" s="109"/>
      <c r="G210" s="109"/>
      <c r="H210" s="108">
        <f>AVERAGE(H186:H209,H177:H184,H165:H175,H156:H163,H141:H154,H134:H138,H129:H132,H120:H127,H115:H118,H105:H112,H90:H103,H86:H88,H79:H84,H72:H76,H69:H70,H59:H67,H51:H57,H35:H48,H30:H33,H13:H28,H8:H11)</f>
        <v>1.1589512680855885</v>
      </c>
      <c r="I210" s="58"/>
      <c r="J210" s="173"/>
      <c r="K210" s="173"/>
      <c r="L210" s="173"/>
      <c r="M210" s="108">
        <f>AVERAGE(M186:M209,M177:M184,M165:M175,M156:M163,M141:M154,M134:M138,M129:M132,M120:M127,M115:M118,M105:M112,M90:M103,M86:M88,M79:M84,M72:M76,M69:M70,M59:M67,M51:M57,M35:M48,M30:M33,M13:M28,M8:M11)</f>
        <v>0.99196236778595337</v>
      </c>
      <c r="N210" s="173"/>
      <c r="O210" s="38">
        <f>O8+O13+O30+O35+O51+O59+O69+O72+O79+O86+O90+O105+O115+O120+O129+O134+O141+O156+O165+O177+O186</f>
        <v>64190235357.25</v>
      </c>
      <c r="P210" s="38">
        <f>P8+P13+P30+P35+P51+P59+P69+P72+P79+P86+P90+P105+P115+P120+P129+P134+P141+P156+P165+P177+P186</f>
        <v>61833158603</v>
      </c>
      <c r="Q210" s="109">
        <f>AVERAGE(Q186,Q177,Q165,Q156,Q141,Q134,Q129,Q120,Q115,Q105,Q90,Q86,Q79,Q72,Q69,Q59,Q51,Q35,Q30,Q13,Q8)</f>
        <v>0.95478663322231172</v>
      </c>
      <c r="R210" s="38">
        <f>R8+R13+R30+R35+R51+R59+R69+R72+R79+R86+R90+R105+R115+R120+R129+R134+R141+R156+R165+R177+R186</f>
        <v>263060941421</v>
      </c>
      <c r="S210" s="38">
        <f>S8+S13+S30+S35+S51+S59+S69+S72+S79+S86+S90+S105+S115+S120+S129+S134+S141+S156+S165+S177+S186</f>
        <v>254041597430.99997</v>
      </c>
      <c r="T210" s="109">
        <f>S210/R210</f>
        <v>0.96571386104953694</v>
      </c>
      <c r="U210" s="38"/>
    </row>
    <row r="211" spans="1:27" x14ac:dyDescent="0.25">
      <c r="A211" s="56"/>
      <c r="B211" s="56"/>
      <c r="C211" s="56"/>
      <c r="E211" s="56"/>
      <c r="F211" s="164"/>
      <c r="G211" s="164"/>
      <c r="H211" s="56"/>
      <c r="J211" s="56"/>
      <c r="K211" s="56"/>
      <c r="L211" s="56"/>
      <c r="M211" s="56"/>
      <c r="N211" s="56"/>
      <c r="O211" s="56"/>
      <c r="P211" s="56"/>
      <c r="Q211" s="56"/>
      <c r="R211" s="56"/>
      <c r="S211" s="56"/>
      <c r="T211" s="56"/>
      <c r="U211" s="56"/>
    </row>
    <row r="212" spans="1:27" x14ac:dyDescent="0.25">
      <c r="W212" s="25"/>
    </row>
    <row r="213" spans="1:27" x14ac:dyDescent="0.25">
      <c r="W213" s="25"/>
      <c r="AA213" s="39"/>
    </row>
    <row r="214" spans="1:27" x14ac:dyDescent="0.25">
      <c r="W214" s="25"/>
    </row>
    <row r="215" spans="1:27" x14ac:dyDescent="0.25">
      <c r="P215" s="25"/>
    </row>
  </sheetData>
  <mergeCells count="250">
    <mergeCell ref="S156:S163"/>
    <mergeCell ref="O165:O175"/>
    <mergeCell ref="T177:T184"/>
    <mergeCell ref="S177:S184"/>
    <mergeCell ref="R177:R184"/>
    <mergeCell ref="P177:P184"/>
    <mergeCell ref="O177:O184"/>
    <mergeCell ref="A176:U176"/>
    <mergeCell ref="R156:R163"/>
    <mergeCell ref="O156:O163"/>
    <mergeCell ref="A186:A209"/>
    <mergeCell ref="C193:C196"/>
    <mergeCell ref="B205:B209"/>
    <mergeCell ref="C208:C209"/>
    <mergeCell ref="O186:O209"/>
    <mergeCell ref="P186:P209"/>
    <mergeCell ref="Q186:Q209"/>
    <mergeCell ref="R186:R209"/>
    <mergeCell ref="A185:U185"/>
    <mergeCell ref="S186:S209"/>
    <mergeCell ref="T186:T209"/>
    <mergeCell ref="U208:U209"/>
    <mergeCell ref="C190:C192"/>
    <mergeCell ref="S115:S118"/>
    <mergeCell ref="B108:B112"/>
    <mergeCell ref="A89:U89"/>
    <mergeCell ref="A105:A112"/>
    <mergeCell ref="C108:C109"/>
    <mergeCell ref="A90:A103"/>
    <mergeCell ref="B90:B97"/>
    <mergeCell ref="C90:C92"/>
    <mergeCell ref="A155:U155"/>
    <mergeCell ref="O134:O138"/>
    <mergeCell ref="B134:B135"/>
    <mergeCell ref="A141:A154"/>
    <mergeCell ref="B141:B144"/>
    <mergeCell ref="B145:B147"/>
    <mergeCell ref="B148:B152"/>
    <mergeCell ref="B153:B154"/>
    <mergeCell ref="A139:U139"/>
    <mergeCell ref="A140:U140"/>
    <mergeCell ref="R141:R154"/>
    <mergeCell ref="B136:B138"/>
    <mergeCell ref="O141:O154"/>
    <mergeCell ref="P141:P154"/>
    <mergeCell ref="S134:S138"/>
    <mergeCell ref="P134:P138"/>
    <mergeCell ref="R13:R28"/>
    <mergeCell ref="A79:A84"/>
    <mergeCell ref="B79:B81"/>
    <mergeCell ref="B82:B83"/>
    <mergeCell ref="P72:P76"/>
    <mergeCell ref="Q72:Q76"/>
    <mergeCell ref="R72:R76"/>
    <mergeCell ref="S72:S76"/>
    <mergeCell ref="A78:U78"/>
    <mergeCell ref="T72:T76"/>
    <mergeCell ref="I72:I73"/>
    <mergeCell ref="I74:I75"/>
    <mergeCell ref="O79:O84"/>
    <mergeCell ref="P79:P84"/>
    <mergeCell ref="Q79:Q84"/>
    <mergeCell ref="R79:R84"/>
    <mergeCell ref="S79:S84"/>
    <mergeCell ref="T79:T84"/>
    <mergeCell ref="P59:P67"/>
    <mergeCell ref="Q59:Q67"/>
    <mergeCell ref="R59:R67"/>
    <mergeCell ref="A59:A67"/>
    <mergeCell ref="B4:B5"/>
    <mergeCell ref="A29:U29"/>
    <mergeCell ref="A30:A33"/>
    <mergeCell ref="T30:T33"/>
    <mergeCell ref="Q13:Q28"/>
    <mergeCell ref="O35:O48"/>
    <mergeCell ref="B46:B48"/>
    <mergeCell ref="S35:S48"/>
    <mergeCell ref="R35:R48"/>
    <mergeCell ref="A8:A11"/>
    <mergeCell ref="B8:B10"/>
    <mergeCell ref="R8:R11"/>
    <mergeCell ref="A12:U12"/>
    <mergeCell ref="O8:O11"/>
    <mergeCell ref="Q8:Q11"/>
    <mergeCell ref="S8:S11"/>
    <mergeCell ref="P8:P11"/>
    <mergeCell ref="T8:T11"/>
    <mergeCell ref="A6:U6"/>
    <mergeCell ref="O13:O28"/>
    <mergeCell ref="Q35:Q48"/>
    <mergeCell ref="P35:P48"/>
    <mergeCell ref="T13:T28"/>
    <mergeCell ref="T35:T48"/>
    <mergeCell ref="Q134:Q138"/>
    <mergeCell ref="T141:T154"/>
    <mergeCell ref="R134:R138"/>
    <mergeCell ref="A134:A138"/>
    <mergeCell ref="A133:U133"/>
    <mergeCell ref="T129:T132"/>
    <mergeCell ref="P129:P132"/>
    <mergeCell ref="P115:P118"/>
    <mergeCell ref="Q115:Q118"/>
    <mergeCell ref="B117:B118"/>
    <mergeCell ref="S129:S132"/>
    <mergeCell ref="A115:A118"/>
    <mergeCell ref="R115:R118"/>
    <mergeCell ref="Q120:Q127"/>
    <mergeCell ref="B115:B116"/>
    <mergeCell ref="T115:T118"/>
    <mergeCell ref="P120:P127"/>
    <mergeCell ref="C122:C123"/>
    <mergeCell ref="A128:U128"/>
    <mergeCell ref="A129:A132"/>
    <mergeCell ref="B129:B132"/>
    <mergeCell ref="A120:A127"/>
    <mergeCell ref="B120:B121"/>
    <mergeCell ref="B122:B127"/>
    <mergeCell ref="O115:O118"/>
    <mergeCell ref="R129:R132"/>
    <mergeCell ref="Q129:Q132"/>
    <mergeCell ref="O129:O132"/>
    <mergeCell ref="C13:C16"/>
    <mergeCell ref="B20:B23"/>
    <mergeCell ref="B24:B25"/>
    <mergeCell ref="B26:B27"/>
    <mergeCell ref="A58:U58"/>
    <mergeCell ref="O69:O70"/>
    <mergeCell ref="P69:P70"/>
    <mergeCell ref="Q69:Q70"/>
    <mergeCell ref="R69:R70"/>
    <mergeCell ref="S69:S70"/>
    <mergeCell ref="P13:P28"/>
    <mergeCell ref="B31:B33"/>
    <mergeCell ref="P30:P33"/>
    <mergeCell ref="Q30:Q33"/>
    <mergeCell ref="T69:T70"/>
    <mergeCell ref="S59:S67"/>
    <mergeCell ref="T59:T67"/>
    <mergeCell ref="A69:A70"/>
    <mergeCell ref="A68:U68"/>
    <mergeCell ref="O59:O67"/>
    <mergeCell ref="A85:U85"/>
    <mergeCell ref="B105:B107"/>
    <mergeCell ref="A71:U71"/>
    <mergeCell ref="T51:T57"/>
    <mergeCell ref="O51:O57"/>
    <mergeCell ref="P51:P57"/>
    <mergeCell ref="Q51:Q57"/>
    <mergeCell ref="R51:R57"/>
    <mergeCell ref="S51:S57"/>
    <mergeCell ref="O72:O76"/>
    <mergeCell ref="A77:U77"/>
    <mergeCell ref="A72:A76"/>
    <mergeCell ref="B72:B75"/>
    <mergeCell ref="C72:C73"/>
    <mergeCell ref="C74:C75"/>
    <mergeCell ref="B60:B61"/>
    <mergeCell ref="B62:B64"/>
    <mergeCell ref="B66:B67"/>
    <mergeCell ref="P86:P88"/>
    <mergeCell ref="O86:O88"/>
    <mergeCell ref="T86:T88"/>
    <mergeCell ref="Q86:Q88"/>
    <mergeCell ref="B86:B88"/>
    <mergeCell ref="Q105:Q112"/>
    <mergeCell ref="A2:U2"/>
    <mergeCell ref="A4:A5"/>
    <mergeCell ref="A3:U3"/>
    <mergeCell ref="O4:T4"/>
    <mergeCell ref="U4:U5"/>
    <mergeCell ref="C4:C5"/>
    <mergeCell ref="A35:A48"/>
    <mergeCell ref="A51:A57"/>
    <mergeCell ref="B51:B54"/>
    <mergeCell ref="B55:B56"/>
    <mergeCell ref="B35:B37"/>
    <mergeCell ref="A50:U50"/>
    <mergeCell ref="B38:B41"/>
    <mergeCell ref="B42:B45"/>
    <mergeCell ref="A49:U49"/>
    <mergeCell ref="D4:N4"/>
    <mergeCell ref="A13:A28"/>
    <mergeCell ref="B13:B18"/>
    <mergeCell ref="A7:U7"/>
    <mergeCell ref="S13:S28"/>
    <mergeCell ref="R30:R33"/>
    <mergeCell ref="S30:S33"/>
    <mergeCell ref="A34:U34"/>
    <mergeCell ref="O30:O33"/>
    <mergeCell ref="A210:E210"/>
    <mergeCell ref="B186:B189"/>
    <mergeCell ref="B190:B204"/>
    <mergeCell ref="T156:T163"/>
    <mergeCell ref="Q156:Q163"/>
    <mergeCell ref="A165:A175"/>
    <mergeCell ref="B165:B167"/>
    <mergeCell ref="R165:R175"/>
    <mergeCell ref="Q165:Q175"/>
    <mergeCell ref="P165:P175"/>
    <mergeCell ref="P156:P163"/>
    <mergeCell ref="B156:B161"/>
    <mergeCell ref="B162:B163"/>
    <mergeCell ref="B174:B175"/>
    <mergeCell ref="A164:U164"/>
    <mergeCell ref="A177:A184"/>
    <mergeCell ref="T165:T175"/>
    <mergeCell ref="S165:S175"/>
    <mergeCell ref="A156:A163"/>
    <mergeCell ref="B168:B173"/>
    <mergeCell ref="I208:I209"/>
    <mergeCell ref="C186:C187"/>
    <mergeCell ref="B177:B183"/>
    <mergeCell ref="Q177:Q184"/>
    <mergeCell ref="P105:P112"/>
    <mergeCell ref="A104:U104"/>
    <mergeCell ref="O90:O103"/>
    <mergeCell ref="O105:O112"/>
    <mergeCell ref="T105:T112"/>
    <mergeCell ref="T90:T103"/>
    <mergeCell ref="C95:C97"/>
    <mergeCell ref="S90:S103"/>
    <mergeCell ref="R90:R103"/>
    <mergeCell ref="N102:N103"/>
    <mergeCell ref="S105:S112"/>
    <mergeCell ref="C99:C100"/>
    <mergeCell ref="I99:I100"/>
    <mergeCell ref="S86:S88"/>
    <mergeCell ref="R86:R88"/>
    <mergeCell ref="A86:A88"/>
    <mergeCell ref="Q141:Q154"/>
    <mergeCell ref="S141:S154"/>
    <mergeCell ref="R105:R112"/>
    <mergeCell ref="R120:R127"/>
    <mergeCell ref="O120:O127"/>
    <mergeCell ref="A114:U114"/>
    <mergeCell ref="A119:U119"/>
    <mergeCell ref="B99:B103"/>
    <mergeCell ref="C102:C103"/>
    <mergeCell ref="Q90:Q103"/>
    <mergeCell ref="P90:P103"/>
    <mergeCell ref="C93:C94"/>
    <mergeCell ref="C106:C107"/>
    <mergeCell ref="A113:U113"/>
    <mergeCell ref="T120:T127"/>
    <mergeCell ref="S120:S127"/>
    <mergeCell ref="U102:U103"/>
    <mergeCell ref="C115:C116"/>
    <mergeCell ref="I108:I109"/>
    <mergeCell ref="I95:I97"/>
    <mergeCell ref="T134:T138"/>
  </mergeCells>
  <printOptions horizontalCentered="1" verticalCentered="1"/>
  <pageMargins left="0" right="0" top="0.98425196850393704" bottom="0.98425196850393704" header="0" footer="0"/>
  <pageSetup scale="49" orientation="landscape" r:id="rId1"/>
  <headerFooter alignWithMargins="0"/>
  <drawing r:id="rId2"/>
  <legacyDrawing r:id="rId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Datos Generales</vt:lpstr>
      <vt:lpstr>Anexo 2 Protocolo Inf Gestión</vt:lpstr>
      <vt:lpstr>Anexo 1 Informe Gestion</vt:lpstr>
      <vt:lpstr>'Anexo 1 Informe Gestion'!Área_de_impresión</vt:lpstr>
      <vt:lpstr>Lista_CAR</vt:lpstr>
      <vt:lpstr>Vigencias</vt:lpstr>
    </vt:vector>
  </TitlesOfParts>
  <Manager>nortiz@claro.net.co</Manager>
  <Company>Derechos protegidos de autor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Material de Capacitación a las CAR</dc:title>
  <dc:creator>Edwin Giovanny Ortiz R.</dc:creator>
  <cp:keywords>Documento No Oficial</cp:keywords>
  <dc:description>Matriz elaborada por Néstor Ortiz Pérez, Consultor GIZ-MADS en el marco de PROMAC</dc:description>
  <cp:lastModifiedBy>Elizabeth Zuluaga Zuluaga</cp:lastModifiedBy>
  <cp:lastPrinted>2016-11-27T02:57:50Z</cp:lastPrinted>
  <dcterms:created xsi:type="dcterms:W3CDTF">2016-11-26T19:57:08Z</dcterms:created>
  <dcterms:modified xsi:type="dcterms:W3CDTF">2019-11-29T19:53:42Z</dcterms:modified>
  <cp:category>Capacitación</cp:category>
  <cp:contentStatus>Preliminar</cp:contentStatus>
</cp:coreProperties>
</file>