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D:\PRAMING\Cocorná III_2022\"/>
    </mc:Choice>
  </mc:AlternateContent>
  <xr:revisionPtr revIDLastSave="0" documentId="13_ncr:1_{CF670F7C-C318-4091-9329-45A34FFF2458}" xr6:coauthVersionLast="47" xr6:coauthVersionMax="47" xr10:uidLastSave="{00000000-0000-0000-0000-000000000000}"/>
  <bookViews>
    <workbookView xWindow="-120" yWindow="-120" windowWidth="20730" windowHeight="11160" tabRatio="862" xr2:uid="{00000000-000D-0000-FFFF-FFFF00000000}"/>
  </bookViews>
  <sheets>
    <sheet name="ACB " sheetId="17" r:id="rId1"/>
    <sheet name="Sensibilidad" sheetId="43" r:id="rId2"/>
    <sheet name="Generación_empleo" sheetId="14" r:id="rId3"/>
    <sheet name="Adicional_riesgo_accidentes" sheetId="33" r:id="rId4"/>
    <sheet name="Redución emisiones GEI" sheetId="34" r:id="rId5"/>
    <sheet name="Adicional_compensacion" sheetId="42" r:id="rId6"/>
    <sheet name="Alteración_paisaje_geoforma" sheetId="3" r:id="rId7"/>
    <sheet name="Suelo_fisicoqco" sheetId="13" r:id="rId8"/>
    <sheet name="Disponibilidad agua sup" sheetId="20" r:id="rId9"/>
    <sheet name="Dinámica agua superficial" sheetId="29" r:id="rId10"/>
    <sheet name="Coberturas_vegetales" sheetId="4" r:id="rId11"/>
    <sheet name="Modificacion_habitat" sheetId="21" r:id="rId12"/>
    <sheet name="Habitats_acuaticos" sheetId="23" r:id="rId13"/>
    <sheet name="Corredores_acuaticos" sheetId="25" r:id="rId14"/>
    <sheet name="Alteracion_recreacion" sheetId="35" r:id="rId15"/>
    <sheet name="TRCM" sheetId="28" r:id="rId16"/>
    <sheet name="Datos_base" sheetId="18" r:id="rId17"/>
  </sheets>
  <definedNames>
    <definedName name="_ftn1" localSheetId="6">Alteración_paisaje_geoforma!#REF!</definedName>
    <definedName name="_ftn2" localSheetId="6">Alteración_paisaje_geoforma!#REF!</definedName>
    <definedName name="_ftn3" localSheetId="6">Alteración_paisaje_geoforma!#REF!</definedName>
    <definedName name="_ftn4" localSheetId="6">Alteración_paisaje_geoforma!#REF!</definedName>
    <definedName name="_ftn5" localSheetId="6">Alteración_paisaje_geoforma!#REF!</definedName>
    <definedName name="_ftnref1" localSheetId="6">Alteración_paisaje_geoforma!$K$5</definedName>
    <definedName name="_ftnref2" localSheetId="6">Alteración_paisaje_geoforma!$K$6</definedName>
    <definedName name="_ftnref3" localSheetId="6">Alteración_paisaje_geoforma!$K$7</definedName>
    <definedName name="_ftnref4" localSheetId="6">Alteración_paisaje_geoforma!$K$8</definedName>
    <definedName name="_ftnref5" localSheetId="6">Alteración_paisaje_geoforma!$K$9</definedName>
    <definedName name="_Hlk32348718" localSheetId="2">Generación_empleo!#REF!</definedName>
    <definedName name="_Toc396224659" localSheetId="0">'ACB '!#REF!</definedName>
    <definedName name="_Toc396224659" localSheetId="1">Sensibilidad!#REF!</definedName>
    <definedName name="_Toc396224670" localSheetId="0">'ACB '!#REF!</definedName>
    <definedName name="_Toc396224670" localSheetId="1">Sensibilidad!#REF!</definedName>
    <definedName name="_Toc396224675" localSheetId="0">'ACB '!#REF!</definedName>
    <definedName name="_Toc396224675" localSheetId="1">Sensibilidad!#REF!</definedName>
    <definedName name="_Toc396224676" localSheetId="0">'ACB '!#REF!</definedName>
    <definedName name="_Toc396224676" localSheetId="1">Sensibilidad!#REF!</definedName>
    <definedName name="_Toc396224677" localSheetId="0">'ACB '!#REF!</definedName>
    <definedName name="_Toc396224677" localSheetId="1">Sensibilidad!#REF!</definedName>
    <definedName name="_Toc396224678" localSheetId="0">'ACB '!#REF!</definedName>
    <definedName name="_Toc396224678" localSheetId="1">Sensibilidad!#REF!</definedName>
    <definedName name="_Toc402858776" localSheetId="0">'ACB '!#REF!</definedName>
    <definedName name="_Toc402858776" localSheetId="1">Sensibilidad!#REF!</definedName>
    <definedName name="_Toc402858777" localSheetId="0">'ACB '!#REF!</definedName>
    <definedName name="_Toc402858777" localSheetId="1">Sensibilidad!#REF!</definedName>
    <definedName name="_Toc402858778" localSheetId="0">'ACB '!#REF!</definedName>
    <definedName name="_Toc402858778" localSheetId="1">Sensibilidad!#REF!</definedName>
    <definedName name="_Toc402858779" localSheetId="0">'ACB '!#REF!</definedName>
    <definedName name="_Toc402858779" localSheetId="1">Sensibilidad!#REF!</definedName>
    <definedName name="afec" localSheetId="4">#REF!</definedName>
    <definedName name="afec" localSheetId="1">#REF!</definedName>
    <definedName name="afec" localSheetId="15">#REF!</definedName>
    <definedName name="afec">#REF!</definedName>
    <definedName name="_xlnm.Database" localSheetId="4">#REF!</definedName>
    <definedName name="_xlnm.Database" localSheetId="1">#REF!</definedName>
    <definedName name="_xlnm.Database" localSheetId="15">#REF!</definedName>
    <definedName name="_xlnm.Database">#REF!</definedName>
    <definedName name="Clasifica" localSheetId="3">#REF!</definedName>
    <definedName name="Clasifica" localSheetId="10">#REF!</definedName>
    <definedName name="Clasifica" localSheetId="13">#REF!</definedName>
    <definedName name="Clasifica" localSheetId="16">#REF!</definedName>
    <definedName name="Clasifica" localSheetId="9">#REF!</definedName>
    <definedName name="Clasifica" localSheetId="8">#REF!</definedName>
    <definedName name="Clasifica" localSheetId="2">#REF!</definedName>
    <definedName name="Clasifica" localSheetId="11">#REF!</definedName>
    <definedName name="Clasifica" localSheetId="4">#REF!</definedName>
    <definedName name="Clasifica" localSheetId="1">#REF!</definedName>
    <definedName name="Clasifica" localSheetId="7">#REF!</definedName>
    <definedName name="Clasifica" localSheetId="15">#REF!</definedName>
    <definedName name="Clasifica">#REF!</definedName>
    <definedName name="dina" localSheetId="4">#REF!</definedName>
    <definedName name="dina" localSheetId="1">#REF!</definedName>
    <definedName name="dina" localSheetId="15">#REF!</definedName>
    <definedName name="dina">#REF!</definedName>
    <definedName name="k" localSheetId="3">#REF!</definedName>
    <definedName name="k" localSheetId="13">#REF!</definedName>
    <definedName name="k" localSheetId="16">#REF!</definedName>
    <definedName name="k" localSheetId="9">#REF!</definedName>
    <definedName name="k" localSheetId="8">#REF!</definedName>
    <definedName name="k" localSheetId="2">#REF!</definedName>
    <definedName name="k" localSheetId="11">#REF!</definedName>
    <definedName name="k" localSheetId="4">#REF!</definedName>
    <definedName name="k" localSheetId="1">#REF!</definedName>
    <definedName name="k" localSheetId="7">#REF!</definedName>
    <definedName name="k" localSheetId="15">#REF!</definedName>
    <definedName name="k">#REF!</definedName>
    <definedName name="OLE_LINK1" localSheetId="7">Suelo_fisicoqco!#REF!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5" i="42" l="1"/>
  <c r="D8" i="42"/>
  <c r="D9" i="42"/>
  <c r="D10" i="42"/>
  <c r="D11" i="42"/>
  <c r="C9" i="42"/>
  <c r="C10" i="42"/>
  <c r="C11" i="42"/>
  <c r="C8" i="42"/>
  <c r="G11" i="43" l="1"/>
  <c r="A28" i="42" l="1"/>
  <c r="C28" i="42" s="1"/>
  <c r="D28" i="42" s="1"/>
  <c r="E28" i="42" s="1"/>
  <c r="F28" i="42" s="1"/>
  <c r="G28" i="42" s="1"/>
  <c r="K30" i="42"/>
  <c r="K12" i="42"/>
  <c r="O16" i="42"/>
  <c r="M8" i="42"/>
  <c r="C13" i="42"/>
  <c r="B13" i="42"/>
  <c r="D9" i="17" l="1"/>
  <c r="H9" i="17" s="1"/>
  <c r="D9" i="43"/>
  <c r="H9" i="43" s="1"/>
  <c r="I9" i="43" s="1"/>
  <c r="H28" i="42"/>
  <c r="I9" i="42"/>
  <c r="I11" i="42"/>
  <c r="I10" i="42"/>
  <c r="O10" i="42"/>
  <c r="O22" i="42"/>
  <c r="I8" i="42"/>
  <c r="O14" i="42"/>
  <c r="I12" i="42"/>
  <c r="O12" i="42"/>
  <c r="K20" i="42"/>
  <c r="K11" i="42"/>
  <c r="K10" i="42"/>
  <c r="K17" i="42"/>
  <c r="P17" i="42" s="1"/>
  <c r="P8" i="43" s="1"/>
  <c r="K15" i="42"/>
  <c r="P15" i="42" s="1"/>
  <c r="N8" i="43" s="1"/>
  <c r="K18" i="42"/>
  <c r="K9" i="42"/>
  <c r="K16" i="42"/>
  <c r="P16" i="42" s="1"/>
  <c r="O8" i="43" s="1"/>
  <c r="K14" i="42"/>
  <c r="K8" i="42"/>
  <c r="K13" i="42"/>
  <c r="P13" i="42" s="1"/>
  <c r="L8" i="43" s="1"/>
  <c r="O20" i="42"/>
  <c r="K22" i="42"/>
  <c r="O18" i="42"/>
  <c r="J9" i="43" l="1"/>
  <c r="K9" i="43" s="1"/>
  <c r="L9" i="43" s="1"/>
  <c r="M9" i="43"/>
  <c r="N9" i="43" s="1"/>
  <c r="P9" i="42"/>
  <c r="P22" i="42"/>
  <c r="I9" i="17"/>
  <c r="P11" i="42"/>
  <c r="P8" i="42"/>
  <c r="P8" i="17"/>
  <c r="L8" i="17"/>
  <c r="O8" i="17"/>
  <c r="N8" i="17"/>
  <c r="P10" i="42"/>
  <c r="P14" i="42"/>
  <c r="M8" i="43" s="1"/>
  <c r="P20" i="42"/>
  <c r="S8" i="43" s="1"/>
  <c r="P18" i="42"/>
  <c r="Q8" i="43" s="1"/>
  <c r="P12" i="42"/>
  <c r="K8" i="43" s="1"/>
  <c r="I8" i="17" l="1"/>
  <c r="I8" i="43"/>
  <c r="U8" i="17"/>
  <c r="U8" i="43"/>
  <c r="H8" i="17"/>
  <c r="H8" i="43"/>
  <c r="D8" i="43"/>
  <c r="G8" i="43"/>
  <c r="E8" i="43" s="1"/>
  <c r="O9" i="43"/>
  <c r="P9" i="43" s="1"/>
  <c r="Q9" i="43" s="1"/>
  <c r="R9" i="43"/>
  <c r="S9" i="43" s="1"/>
  <c r="J8" i="17"/>
  <c r="J8" i="43"/>
  <c r="J9" i="17"/>
  <c r="K9" i="17" s="1"/>
  <c r="L9" i="17" s="1"/>
  <c r="M9" i="17"/>
  <c r="N9" i="17" s="1"/>
  <c r="G8" i="17"/>
  <c r="D8" i="17"/>
  <c r="P23" i="42"/>
  <c r="K8" i="17"/>
  <c r="Q8" i="17"/>
  <c r="S8" i="17"/>
  <c r="M8" i="17"/>
  <c r="T9" i="43" l="1"/>
  <c r="U9" i="43" s="1"/>
  <c r="V9" i="43" s="1"/>
  <c r="W9" i="43"/>
  <c r="X9" i="43" s="1"/>
  <c r="E8" i="17"/>
  <c r="O9" i="17"/>
  <c r="R9" i="17"/>
  <c r="AB9" i="43" l="1"/>
  <c r="AC9" i="43" s="1"/>
  <c r="Y9" i="43"/>
  <c r="Z9" i="43" s="1"/>
  <c r="AA9" i="43" s="1"/>
  <c r="S9" i="17"/>
  <c r="P9" i="17"/>
  <c r="AG9" i="43" l="1"/>
  <c r="AH9" i="43" s="1"/>
  <c r="AD9" i="43"/>
  <c r="AE9" i="43" s="1"/>
  <c r="AF9" i="43" s="1"/>
  <c r="W9" i="17"/>
  <c r="T9" i="17"/>
  <c r="Q9" i="17"/>
  <c r="AI9" i="43" l="1"/>
  <c r="AJ9" i="43" s="1"/>
  <c r="AK9" i="43" s="1"/>
  <c r="AL9" i="43"/>
  <c r="AM9" i="43" s="1"/>
  <c r="U9" i="17"/>
  <c r="X9" i="17"/>
  <c r="AN9" i="43" l="1"/>
  <c r="AO9" i="43" s="1"/>
  <c r="AP9" i="43" s="1"/>
  <c r="AQ9" i="43"/>
  <c r="AR9" i="43" s="1"/>
  <c r="Y9" i="17"/>
  <c r="AB9" i="17"/>
  <c r="V9" i="17"/>
  <c r="AV9" i="43" l="1"/>
  <c r="AW9" i="43" s="1"/>
  <c r="AS9" i="43"/>
  <c r="AT9" i="43" s="1"/>
  <c r="AU9" i="43" s="1"/>
  <c r="AC9" i="17"/>
  <c r="Z9" i="17"/>
  <c r="G29" i="29"/>
  <c r="B4" i="29" s="1"/>
  <c r="BA9" i="43" l="1"/>
  <c r="BB9" i="43" s="1"/>
  <c r="BC9" i="43" s="1"/>
  <c r="BD9" i="43" s="1"/>
  <c r="BE9" i="43" s="1"/>
  <c r="E9" i="43" s="1"/>
  <c r="AX9" i="43"/>
  <c r="AY9" i="43" s="1"/>
  <c r="AZ9" i="43" s="1"/>
  <c r="AA9" i="17"/>
  <c r="AD9" i="17"/>
  <c r="AG9" i="17"/>
  <c r="AH9" i="17" l="1"/>
  <c r="AE9" i="17"/>
  <c r="AF9" i="17" l="1"/>
  <c r="AL9" i="17"/>
  <c r="AI9" i="17"/>
  <c r="AJ9" i="17" l="1"/>
  <c r="AM9" i="17"/>
  <c r="AQ9" i="17" l="1"/>
  <c r="AN9" i="17"/>
  <c r="AK9" i="17"/>
  <c r="D18" i="43" l="1"/>
  <c r="F18" i="43" s="1"/>
  <c r="AO9" i="17"/>
  <c r="AR9" i="17"/>
  <c r="G18" i="43" l="1"/>
  <c r="H18" i="43" s="1"/>
  <c r="I18" i="43" s="1"/>
  <c r="J18" i="43" s="1"/>
  <c r="K18" i="43" s="1"/>
  <c r="L18" i="43" s="1"/>
  <c r="M18" i="43" s="1"/>
  <c r="N18" i="43" s="1"/>
  <c r="O18" i="43" s="1"/>
  <c r="P18" i="43" s="1"/>
  <c r="Q18" i="43" s="1"/>
  <c r="R18" i="43" s="1"/>
  <c r="S18" i="43" s="1"/>
  <c r="T18" i="43" s="1"/>
  <c r="U18" i="43" s="1"/>
  <c r="V18" i="43" s="1"/>
  <c r="W18" i="43" s="1"/>
  <c r="X18" i="43" s="1"/>
  <c r="Y18" i="43" s="1"/>
  <c r="Z18" i="43" s="1"/>
  <c r="AA18" i="43" s="1"/>
  <c r="AB18" i="43" s="1"/>
  <c r="AC18" i="43" s="1"/>
  <c r="AD18" i="43" s="1"/>
  <c r="AE18" i="43" s="1"/>
  <c r="AF18" i="43" s="1"/>
  <c r="AG18" i="43" s="1"/>
  <c r="AH18" i="43" s="1"/>
  <c r="AI18" i="43" s="1"/>
  <c r="AJ18" i="43" s="1"/>
  <c r="AK18" i="43" s="1"/>
  <c r="AL18" i="43" s="1"/>
  <c r="AM18" i="43" s="1"/>
  <c r="AN18" i="43" s="1"/>
  <c r="AO18" i="43" s="1"/>
  <c r="AP18" i="43" s="1"/>
  <c r="AQ18" i="43" s="1"/>
  <c r="AR18" i="43" s="1"/>
  <c r="AS18" i="43" s="1"/>
  <c r="AT18" i="43" s="1"/>
  <c r="AU18" i="43" s="1"/>
  <c r="AV18" i="43" s="1"/>
  <c r="AW18" i="43" s="1"/>
  <c r="AX18" i="43" s="1"/>
  <c r="AY18" i="43" s="1"/>
  <c r="AZ18" i="43" s="1"/>
  <c r="BA18" i="43" s="1"/>
  <c r="BB18" i="43" s="1"/>
  <c r="BC18" i="43" s="1"/>
  <c r="BD18" i="43" s="1"/>
  <c r="BE18" i="43" s="1"/>
  <c r="E18" i="43"/>
  <c r="AV9" i="17"/>
  <c r="AS9" i="17"/>
  <c r="AP9" i="17"/>
  <c r="AT9" i="17" l="1"/>
  <c r="AW9" i="17"/>
  <c r="BA9" i="17" l="1"/>
  <c r="AX9" i="17"/>
  <c r="AU9" i="17"/>
  <c r="AY9" i="17" l="1"/>
  <c r="BB9" i="17"/>
  <c r="C20" i="43" l="1"/>
  <c r="D20" i="43" s="1"/>
  <c r="F20" i="43" s="1"/>
  <c r="BC9" i="17"/>
  <c r="AZ9" i="17"/>
  <c r="G20" i="43" l="1"/>
  <c r="H20" i="43" s="1"/>
  <c r="I20" i="43" s="1"/>
  <c r="J20" i="43" s="1"/>
  <c r="K20" i="43" s="1"/>
  <c r="L20" i="43" s="1"/>
  <c r="M20" i="43" s="1"/>
  <c r="N20" i="43" s="1"/>
  <c r="O20" i="43" s="1"/>
  <c r="P20" i="43" s="1"/>
  <c r="Q20" i="43" s="1"/>
  <c r="R20" i="43" s="1"/>
  <c r="S20" i="43" s="1"/>
  <c r="T20" i="43" s="1"/>
  <c r="U20" i="43" s="1"/>
  <c r="V20" i="43" s="1"/>
  <c r="W20" i="43" s="1"/>
  <c r="X20" i="43" s="1"/>
  <c r="Y20" i="43" s="1"/>
  <c r="Z20" i="43" s="1"/>
  <c r="AA20" i="43" s="1"/>
  <c r="AB20" i="43" s="1"/>
  <c r="AC20" i="43" s="1"/>
  <c r="AD20" i="43" s="1"/>
  <c r="AE20" i="43" s="1"/>
  <c r="AF20" i="43" s="1"/>
  <c r="AG20" i="43" s="1"/>
  <c r="AH20" i="43" s="1"/>
  <c r="AI20" i="43" s="1"/>
  <c r="AJ20" i="43" s="1"/>
  <c r="AK20" i="43" s="1"/>
  <c r="AL20" i="43" s="1"/>
  <c r="AM20" i="43" s="1"/>
  <c r="AN20" i="43" s="1"/>
  <c r="AO20" i="43" s="1"/>
  <c r="AP20" i="43" s="1"/>
  <c r="AQ20" i="43" s="1"/>
  <c r="AR20" i="43" s="1"/>
  <c r="AS20" i="43" s="1"/>
  <c r="AT20" i="43" s="1"/>
  <c r="AU20" i="43" s="1"/>
  <c r="AV20" i="43" s="1"/>
  <c r="AW20" i="43" s="1"/>
  <c r="AX20" i="43" s="1"/>
  <c r="AY20" i="43" s="1"/>
  <c r="AZ20" i="43" s="1"/>
  <c r="BA20" i="43" s="1"/>
  <c r="BB20" i="43" s="1"/>
  <c r="BC20" i="43" s="1"/>
  <c r="BD20" i="43" s="1"/>
  <c r="BE20" i="43" s="1"/>
  <c r="BD9" i="17"/>
  <c r="B8" i="29"/>
  <c r="C16" i="43" s="1"/>
  <c r="D16" i="43" s="1"/>
  <c r="F16" i="43" s="1"/>
  <c r="G16" i="43" l="1"/>
  <c r="H16" i="43" s="1"/>
  <c r="I16" i="43" s="1"/>
  <c r="J16" i="43" s="1"/>
  <c r="K16" i="43" s="1"/>
  <c r="L16" i="43" s="1"/>
  <c r="M16" i="43" s="1"/>
  <c r="N16" i="43" s="1"/>
  <c r="O16" i="43" s="1"/>
  <c r="P16" i="43" s="1"/>
  <c r="Q16" i="43" s="1"/>
  <c r="R16" i="43" s="1"/>
  <c r="S16" i="43" s="1"/>
  <c r="T16" i="43" s="1"/>
  <c r="U16" i="43" s="1"/>
  <c r="V16" i="43" s="1"/>
  <c r="W16" i="43" s="1"/>
  <c r="X16" i="43" s="1"/>
  <c r="Y16" i="43" s="1"/>
  <c r="Z16" i="43" s="1"/>
  <c r="AA16" i="43" s="1"/>
  <c r="AB16" i="43" s="1"/>
  <c r="AC16" i="43" s="1"/>
  <c r="AD16" i="43" s="1"/>
  <c r="AE16" i="43" s="1"/>
  <c r="AF16" i="43" s="1"/>
  <c r="AG16" i="43" s="1"/>
  <c r="AH16" i="43" s="1"/>
  <c r="AI16" i="43" s="1"/>
  <c r="AJ16" i="43" s="1"/>
  <c r="AK16" i="43" s="1"/>
  <c r="AL16" i="43" s="1"/>
  <c r="AM16" i="43" s="1"/>
  <c r="AN16" i="43" s="1"/>
  <c r="AO16" i="43" s="1"/>
  <c r="AP16" i="43" s="1"/>
  <c r="AQ16" i="43" s="1"/>
  <c r="AR16" i="43" s="1"/>
  <c r="AS16" i="43" s="1"/>
  <c r="AT16" i="43" s="1"/>
  <c r="AU16" i="43" s="1"/>
  <c r="AV16" i="43" s="1"/>
  <c r="AW16" i="43" s="1"/>
  <c r="AX16" i="43" s="1"/>
  <c r="AY16" i="43" s="1"/>
  <c r="AZ16" i="43" s="1"/>
  <c r="BA16" i="43" s="1"/>
  <c r="BB16" i="43" s="1"/>
  <c r="BC16" i="43" s="1"/>
  <c r="BD16" i="43" s="1"/>
  <c r="BE16" i="43" s="1"/>
  <c r="E20" i="43"/>
  <c r="BE9" i="17"/>
  <c r="C16" i="17"/>
  <c r="B18" i="23"/>
  <c r="E16" i="43" l="1"/>
  <c r="E9" i="17"/>
  <c r="D16" i="17"/>
  <c r="F16" i="17" l="1"/>
  <c r="D47" i="14"/>
  <c r="A47" i="14"/>
  <c r="C47" i="14" s="1"/>
  <c r="B39" i="14"/>
  <c r="A28" i="14"/>
  <c r="C28" i="14" s="1"/>
  <c r="A43" i="14"/>
  <c r="F47" i="14" l="1"/>
  <c r="E47" i="14"/>
  <c r="E28" i="14"/>
  <c r="F28" i="14"/>
  <c r="B10" i="14" l="1"/>
  <c r="A24" i="14"/>
  <c r="A14" i="14"/>
  <c r="A10" i="14"/>
  <c r="C10" i="14" l="1"/>
  <c r="C12" i="35" l="1"/>
  <c r="D12" i="35" s="1"/>
  <c r="F12" i="35" s="1"/>
  <c r="C23" i="43" l="1"/>
  <c r="D23" i="43" s="1"/>
  <c r="F23" i="43" s="1"/>
  <c r="C21" i="17"/>
  <c r="D21" i="17" s="1"/>
  <c r="F21" i="17" s="1"/>
  <c r="G23" i="43" l="1"/>
  <c r="H23" i="43" s="1"/>
  <c r="I23" i="43" s="1"/>
  <c r="J23" i="43" s="1"/>
  <c r="K23" i="43" s="1"/>
  <c r="L23" i="43" s="1"/>
  <c r="M23" i="43" s="1"/>
  <c r="N23" i="43" s="1"/>
  <c r="O23" i="43" s="1"/>
  <c r="P23" i="43" s="1"/>
  <c r="Q23" i="43" s="1"/>
  <c r="R23" i="43" s="1"/>
  <c r="S23" i="43" s="1"/>
  <c r="T23" i="43" s="1"/>
  <c r="U23" i="43" s="1"/>
  <c r="V23" i="43" s="1"/>
  <c r="W23" i="43" s="1"/>
  <c r="X23" i="43" s="1"/>
  <c r="Y23" i="43" s="1"/>
  <c r="Z23" i="43" s="1"/>
  <c r="AA23" i="43" s="1"/>
  <c r="AB23" i="43" s="1"/>
  <c r="AC23" i="43" s="1"/>
  <c r="AD23" i="43" s="1"/>
  <c r="AE23" i="43" s="1"/>
  <c r="AF23" i="43" s="1"/>
  <c r="AG23" i="43" s="1"/>
  <c r="AH23" i="43" s="1"/>
  <c r="AI23" i="43" s="1"/>
  <c r="AJ23" i="43" s="1"/>
  <c r="AK23" i="43" s="1"/>
  <c r="AL23" i="43" s="1"/>
  <c r="AM23" i="43" s="1"/>
  <c r="AN23" i="43" s="1"/>
  <c r="AO23" i="43" s="1"/>
  <c r="AP23" i="43" s="1"/>
  <c r="AQ23" i="43" s="1"/>
  <c r="AR23" i="43" s="1"/>
  <c r="AS23" i="43" s="1"/>
  <c r="AT23" i="43" s="1"/>
  <c r="AU23" i="43" s="1"/>
  <c r="AV23" i="43" s="1"/>
  <c r="AW23" i="43" s="1"/>
  <c r="AX23" i="43" s="1"/>
  <c r="AY23" i="43" s="1"/>
  <c r="AZ23" i="43" s="1"/>
  <c r="BA23" i="43" s="1"/>
  <c r="BB23" i="43" s="1"/>
  <c r="BC23" i="43" s="1"/>
  <c r="BD23" i="43" s="1"/>
  <c r="BE23" i="43" s="1"/>
  <c r="S4" i="34"/>
  <c r="A4" i="34" s="1"/>
  <c r="C4" i="34" s="1"/>
  <c r="D4" i="34" s="1"/>
  <c r="C7" i="43" s="1"/>
  <c r="D7" i="43" s="1"/>
  <c r="H7" i="43" s="1"/>
  <c r="B12" i="34"/>
  <c r="I7" i="43" l="1"/>
  <c r="J7" i="43" s="1"/>
  <c r="K7" i="43" s="1"/>
  <c r="L7" i="43" s="1"/>
  <c r="M7" i="43" s="1"/>
  <c r="N7" i="43" s="1"/>
  <c r="O7" i="43" s="1"/>
  <c r="P7" i="43" s="1"/>
  <c r="Q7" i="43" s="1"/>
  <c r="R7" i="43" s="1"/>
  <c r="S7" i="43" s="1"/>
  <c r="T7" i="43" s="1"/>
  <c r="U7" i="43" s="1"/>
  <c r="V7" i="43" s="1"/>
  <c r="W7" i="43" s="1"/>
  <c r="X7" i="43" s="1"/>
  <c r="Y7" i="43" s="1"/>
  <c r="Z7" i="43" s="1"/>
  <c r="AA7" i="43" s="1"/>
  <c r="AB7" i="43" s="1"/>
  <c r="AC7" i="43" s="1"/>
  <c r="AD7" i="43" s="1"/>
  <c r="AE7" i="43" s="1"/>
  <c r="AF7" i="43" s="1"/>
  <c r="AG7" i="43" s="1"/>
  <c r="AH7" i="43" s="1"/>
  <c r="AI7" i="43" s="1"/>
  <c r="AJ7" i="43" s="1"/>
  <c r="AK7" i="43" s="1"/>
  <c r="AL7" i="43" s="1"/>
  <c r="AM7" i="43" s="1"/>
  <c r="AN7" i="43" s="1"/>
  <c r="AO7" i="43" s="1"/>
  <c r="AP7" i="43" s="1"/>
  <c r="AQ7" i="43" s="1"/>
  <c r="AR7" i="43" s="1"/>
  <c r="AS7" i="43" s="1"/>
  <c r="AT7" i="43" s="1"/>
  <c r="AU7" i="43" s="1"/>
  <c r="AV7" i="43" s="1"/>
  <c r="AW7" i="43" s="1"/>
  <c r="AX7" i="43" s="1"/>
  <c r="AY7" i="43" s="1"/>
  <c r="AZ7" i="43" s="1"/>
  <c r="BA7" i="43" s="1"/>
  <c r="BB7" i="43" s="1"/>
  <c r="BC7" i="43" s="1"/>
  <c r="BD7" i="43" s="1"/>
  <c r="BE7" i="43" s="1"/>
  <c r="E23" i="43"/>
  <c r="C7" i="17"/>
  <c r="E7" i="43" l="1"/>
  <c r="D7" i="17"/>
  <c r="H7" i="17" s="1"/>
  <c r="I5" i="33"/>
  <c r="B5" i="33"/>
  <c r="D5" i="33" s="1"/>
  <c r="C6" i="43" s="1"/>
  <c r="D6" i="43" s="1"/>
  <c r="H6" i="43" s="1"/>
  <c r="I6" i="43" l="1"/>
  <c r="J6" i="43" s="1"/>
  <c r="K6" i="43" s="1"/>
  <c r="L6" i="43" s="1"/>
  <c r="M6" i="43" s="1"/>
  <c r="N6" i="43" s="1"/>
  <c r="O6" i="43" s="1"/>
  <c r="P6" i="43" s="1"/>
  <c r="Q6" i="43" s="1"/>
  <c r="R6" i="43" s="1"/>
  <c r="S6" i="43" s="1"/>
  <c r="T6" i="43" s="1"/>
  <c r="U6" i="43" s="1"/>
  <c r="V6" i="43" s="1"/>
  <c r="W6" i="43" s="1"/>
  <c r="X6" i="43" s="1"/>
  <c r="Y6" i="43" s="1"/>
  <c r="Z6" i="43" s="1"/>
  <c r="AA6" i="43" s="1"/>
  <c r="AB6" i="43" s="1"/>
  <c r="AC6" i="43" s="1"/>
  <c r="AD6" i="43" s="1"/>
  <c r="AE6" i="43" s="1"/>
  <c r="AF6" i="43" s="1"/>
  <c r="AG6" i="43" s="1"/>
  <c r="AH6" i="43" s="1"/>
  <c r="AI6" i="43" s="1"/>
  <c r="AJ6" i="43" s="1"/>
  <c r="AK6" i="43" s="1"/>
  <c r="AL6" i="43" s="1"/>
  <c r="AM6" i="43" s="1"/>
  <c r="AN6" i="43" s="1"/>
  <c r="AO6" i="43" s="1"/>
  <c r="AP6" i="43" s="1"/>
  <c r="AQ6" i="43" s="1"/>
  <c r="AR6" i="43" s="1"/>
  <c r="AS6" i="43" s="1"/>
  <c r="AT6" i="43" s="1"/>
  <c r="AU6" i="43" s="1"/>
  <c r="AV6" i="43" s="1"/>
  <c r="AW6" i="43" s="1"/>
  <c r="AX6" i="43" s="1"/>
  <c r="AY6" i="43" s="1"/>
  <c r="AZ6" i="43" s="1"/>
  <c r="BA6" i="43" s="1"/>
  <c r="BB6" i="43" s="1"/>
  <c r="BC6" i="43" s="1"/>
  <c r="BD6" i="43" s="1"/>
  <c r="BE6" i="43" s="1"/>
  <c r="C6" i="17"/>
  <c r="E6" i="43" l="1"/>
  <c r="D6" i="17"/>
  <c r="H6" i="17" s="1"/>
  <c r="B38" i="14"/>
  <c r="D43" i="14" l="1"/>
  <c r="B40" i="14"/>
  <c r="C43" i="14"/>
  <c r="F43" i="14" l="1"/>
  <c r="E43" i="14"/>
  <c r="B6" i="29" l="1"/>
  <c r="B8" i="28" l="1"/>
  <c r="S6" i="25" l="1"/>
  <c r="T6" i="25" s="1"/>
  <c r="S5" i="25"/>
  <c r="T5" i="25" s="1"/>
  <c r="S4" i="25"/>
  <c r="S7" i="25" s="1"/>
  <c r="T4" i="25" l="1"/>
  <c r="T7" i="25" s="1"/>
  <c r="C13" i="25" s="1"/>
  <c r="D13" i="25" s="1"/>
  <c r="C22" i="43" s="1"/>
  <c r="D22" i="43" s="1"/>
  <c r="F22" i="43" s="1"/>
  <c r="G22" i="43" l="1"/>
  <c r="H22" i="43" s="1"/>
  <c r="I22" i="43" s="1"/>
  <c r="J22" i="43" s="1"/>
  <c r="K22" i="43" s="1"/>
  <c r="L22" i="43" s="1"/>
  <c r="M22" i="43" s="1"/>
  <c r="N22" i="43" s="1"/>
  <c r="O22" i="43" s="1"/>
  <c r="P22" i="43" s="1"/>
  <c r="Q22" i="43" s="1"/>
  <c r="R22" i="43" s="1"/>
  <c r="S22" i="43" s="1"/>
  <c r="T22" i="43" s="1"/>
  <c r="U22" i="43" s="1"/>
  <c r="V22" i="43" s="1"/>
  <c r="W22" i="43" s="1"/>
  <c r="X22" i="43" s="1"/>
  <c r="Y22" i="43" s="1"/>
  <c r="Z22" i="43" s="1"/>
  <c r="AA22" i="43" s="1"/>
  <c r="AB22" i="43" s="1"/>
  <c r="AC22" i="43" s="1"/>
  <c r="AD22" i="43" s="1"/>
  <c r="AE22" i="43" s="1"/>
  <c r="AF22" i="43" s="1"/>
  <c r="AG22" i="43" s="1"/>
  <c r="AH22" i="43" s="1"/>
  <c r="AI22" i="43" s="1"/>
  <c r="AJ22" i="43" s="1"/>
  <c r="AK22" i="43" s="1"/>
  <c r="AL22" i="43" s="1"/>
  <c r="AM22" i="43" s="1"/>
  <c r="AN22" i="43" s="1"/>
  <c r="AO22" i="43" s="1"/>
  <c r="AP22" i="43" s="1"/>
  <c r="AQ22" i="43" s="1"/>
  <c r="AR22" i="43" s="1"/>
  <c r="AS22" i="43" s="1"/>
  <c r="AT22" i="43" s="1"/>
  <c r="AU22" i="43" s="1"/>
  <c r="AV22" i="43" s="1"/>
  <c r="AW22" i="43" s="1"/>
  <c r="AX22" i="43" s="1"/>
  <c r="AY22" i="43" s="1"/>
  <c r="AZ22" i="43" s="1"/>
  <c r="BA22" i="43" s="1"/>
  <c r="BB22" i="43" s="1"/>
  <c r="BC22" i="43" s="1"/>
  <c r="BD22" i="43" s="1"/>
  <c r="BE22" i="43" s="1"/>
  <c r="C20" i="17"/>
  <c r="D10" i="23"/>
  <c r="C18" i="23" s="1"/>
  <c r="D18" i="23" l="1"/>
  <c r="E18" i="23" s="1"/>
  <c r="E22" i="43"/>
  <c r="D20" i="17"/>
  <c r="F20" i="17" s="1"/>
  <c r="C24" i="14"/>
  <c r="F24" i="14" s="1"/>
  <c r="D14" i="14"/>
  <c r="D10" i="14"/>
  <c r="C19" i="17" l="1"/>
  <c r="D19" i="17" s="1"/>
  <c r="F19" i="17" s="1"/>
  <c r="C21" i="43"/>
  <c r="D21" i="43" s="1"/>
  <c r="F21" i="43" s="1"/>
  <c r="C5" i="17"/>
  <c r="D5" i="17" s="1"/>
  <c r="H5" i="17" s="1"/>
  <c r="H10" i="17" s="1"/>
  <c r="B30" i="14"/>
  <c r="B49" i="14"/>
  <c r="C5" i="43" s="1"/>
  <c r="D5" i="43" s="1"/>
  <c r="H5" i="43" s="1"/>
  <c r="E24" i="14"/>
  <c r="G21" i="43" l="1"/>
  <c r="H21" i="43" s="1"/>
  <c r="I21" i="43" s="1"/>
  <c r="J21" i="43" s="1"/>
  <c r="K21" i="43" s="1"/>
  <c r="L21" i="43" s="1"/>
  <c r="M21" i="43" s="1"/>
  <c r="N21" i="43" s="1"/>
  <c r="O21" i="43" s="1"/>
  <c r="P21" i="43" s="1"/>
  <c r="Q21" i="43" s="1"/>
  <c r="R21" i="43" s="1"/>
  <c r="S21" i="43" s="1"/>
  <c r="T21" i="43" s="1"/>
  <c r="U21" i="43" s="1"/>
  <c r="V21" i="43" s="1"/>
  <c r="W21" i="43" s="1"/>
  <c r="X21" i="43" s="1"/>
  <c r="Y21" i="43" s="1"/>
  <c r="Z21" i="43" s="1"/>
  <c r="AA21" i="43" s="1"/>
  <c r="AB21" i="43" s="1"/>
  <c r="AC21" i="43" s="1"/>
  <c r="AD21" i="43" s="1"/>
  <c r="AE21" i="43" s="1"/>
  <c r="AF21" i="43" s="1"/>
  <c r="AG21" i="43" s="1"/>
  <c r="AH21" i="43" s="1"/>
  <c r="AI21" i="43" s="1"/>
  <c r="AJ21" i="43" s="1"/>
  <c r="AK21" i="43" s="1"/>
  <c r="AL21" i="43" s="1"/>
  <c r="AM21" i="43" s="1"/>
  <c r="AN21" i="43" s="1"/>
  <c r="AO21" i="43" s="1"/>
  <c r="AP21" i="43" s="1"/>
  <c r="AQ21" i="43" s="1"/>
  <c r="AR21" i="43" s="1"/>
  <c r="AS21" i="43" s="1"/>
  <c r="AT21" i="43" s="1"/>
  <c r="AU21" i="43" s="1"/>
  <c r="AV21" i="43" s="1"/>
  <c r="AW21" i="43" s="1"/>
  <c r="AX21" i="43" s="1"/>
  <c r="AY21" i="43" s="1"/>
  <c r="AZ21" i="43" s="1"/>
  <c r="BA21" i="43" s="1"/>
  <c r="BB21" i="43" s="1"/>
  <c r="BC21" i="43" s="1"/>
  <c r="BD21" i="43" s="1"/>
  <c r="BE21" i="43" s="1"/>
  <c r="H10" i="43"/>
  <c r="I5" i="43"/>
  <c r="H14" i="4"/>
  <c r="J5" i="43" l="1"/>
  <c r="I10" i="43"/>
  <c r="E21" i="43"/>
  <c r="M16" i="21"/>
  <c r="C8" i="21" s="1"/>
  <c r="E8" i="21" s="1"/>
  <c r="L16" i="21"/>
  <c r="C7" i="21" s="1"/>
  <c r="E7" i="21" s="1"/>
  <c r="K16" i="21"/>
  <c r="C6" i="21" s="1"/>
  <c r="E6" i="21" s="1"/>
  <c r="J16" i="21"/>
  <c r="C5" i="21" s="1"/>
  <c r="I16" i="21"/>
  <c r="B4" i="21" s="1"/>
  <c r="K5" i="43" l="1"/>
  <c r="J10" i="43"/>
  <c r="E4" i="21"/>
  <c r="E5" i="21"/>
  <c r="B8" i="20"/>
  <c r="B7" i="20"/>
  <c r="B6" i="20"/>
  <c r="B5" i="20"/>
  <c r="B9" i="20" s="1"/>
  <c r="B10" i="20" s="1"/>
  <c r="B11" i="20" s="1"/>
  <c r="B19" i="20" s="1"/>
  <c r="E19" i="20" s="1"/>
  <c r="B15" i="20"/>
  <c r="C19" i="20" s="1"/>
  <c r="C15" i="43" l="1"/>
  <c r="D15" i="43" s="1"/>
  <c r="H15" i="43" s="1"/>
  <c r="C15" i="17"/>
  <c r="D15" i="17" s="1"/>
  <c r="H15" i="17" s="1"/>
  <c r="K10" i="43"/>
  <c r="L5" i="43"/>
  <c r="E9" i="21"/>
  <c r="E10" i="21" s="1"/>
  <c r="C19" i="43" l="1"/>
  <c r="D19" i="43" s="1"/>
  <c r="F19" i="43" s="1"/>
  <c r="C18" i="17"/>
  <c r="D18" i="17" s="1"/>
  <c r="F18" i="17" s="1"/>
  <c r="L10" i="43"/>
  <c r="M5" i="43"/>
  <c r="I15" i="43"/>
  <c r="J15" i="43" s="1"/>
  <c r="K15" i="43" s="1"/>
  <c r="L15" i="43" s="1"/>
  <c r="M15" i="43" s="1"/>
  <c r="N15" i="43" s="1"/>
  <c r="O15" i="43" s="1"/>
  <c r="P15" i="43" s="1"/>
  <c r="Q15" i="43" s="1"/>
  <c r="R15" i="43" s="1"/>
  <c r="S15" i="43" s="1"/>
  <c r="T15" i="43" s="1"/>
  <c r="U15" i="43" s="1"/>
  <c r="V15" i="43" s="1"/>
  <c r="W15" i="43" s="1"/>
  <c r="X15" i="43" s="1"/>
  <c r="Y15" i="43" s="1"/>
  <c r="Z15" i="43" s="1"/>
  <c r="AA15" i="43" s="1"/>
  <c r="AB15" i="43" s="1"/>
  <c r="AC15" i="43" s="1"/>
  <c r="AD15" i="43" s="1"/>
  <c r="AE15" i="43" s="1"/>
  <c r="AF15" i="43" s="1"/>
  <c r="AG15" i="43" s="1"/>
  <c r="AH15" i="43" s="1"/>
  <c r="AI15" i="43" s="1"/>
  <c r="AJ15" i="43" s="1"/>
  <c r="AK15" i="43" s="1"/>
  <c r="AL15" i="43" s="1"/>
  <c r="AM15" i="43" s="1"/>
  <c r="AN15" i="43" s="1"/>
  <c r="AO15" i="43" s="1"/>
  <c r="AP15" i="43" s="1"/>
  <c r="AQ15" i="43" s="1"/>
  <c r="AR15" i="43" s="1"/>
  <c r="AS15" i="43" s="1"/>
  <c r="AT15" i="43" s="1"/>
  <c r="AU15" i="43" s="1"/>
  <c r="AV15" i="43" s="1"/>
  <c r="AW15" i="43" s="1"/>
  <c r="AX15" i="43" s="1"/>
  <c r="AY15" i="43" s="1"/>
  <c r="AZ15" i="43" s="1"/>
  <c r="BA15" i="43" s="1"/>
  <c r="BB15" i="43" s="1"/>
  <c r="BC15" i="43" s="1"/>
  <c r="BD15" i="43" s="1"/>
  <c r="BE15" i="43" s="1"/>
  <c r="D15" i="3"/>
  <c r="B21" i="3" s="1"/>
  <c r="C21" i="3" s="1"/>
  <c r="E21" i="3" s="1"/>
  <c r="C13" i="43" s="1"/>
  <c r="D16" i="3"/>
  <c r="D14" i="3"/>
  <c r="M10" i="43" l="1"/>
  <c r="N5" i="43"/>
  <c r="D13" i="43"/>
  <c r="E15" i="43"/>
  <c r="G18" i="17"/>
  <c r="H18" i="17" s="1"/>
  <c r="I18" i="17" s="1"/>
  <c r="J18" i="17" s="1"/>
  <c r="K18" i="17" s="1"/>
  <c r="L18" i="17" s="1"/>
  <c r="M18" i="17" s="1"/>
  <c r="N18" i="17" s="1"/>
  <c r="O18" i="17" s="1"/>
  <c r="P18" i="17" s="1"/>
  <c r="Q18" i="17" s="1"/>
  <c r="R18" i="17" s="1"/>
  <c r="S18" i="17" s="1"/>
  <c r="T18" i="17" s="1"/>
  <c r="U18" i="17" s="1"/>
  <c r="V18" i="17" s="1"/>
  <c r="W18" i="17" s="1"/>
  <c r="X18" i="17" s="1"/>
  <c r="Y18" i="17" s="1"/>
  <c r="Z18" i="17" s="1"/>
  <c r="AA18" i="17" s="1"/>
  <c r="AB18" i="17" s="1"/>
  <c r="AC18" i="17" s="1"/>
  <c r="AD18" i="17" s="1"/>
  <c r="AE18" i="17" s="1"/>
  <c r="AF18" i="17" s="1"/>
  <c r="AG18" i="17" s="1"/>
  <c r="AH18" i="17" s="1"/>
  <c r="AI18" i="17" s="1"/>
  <c r="AJ18" i="17" s="1"/>
  <c r="AK18" i="17" s="1"/>
  <c r="AL18" i="17" s="1"/>
  <c r="AM18" i="17" s="1"/>
  <c r="AN18" i="17" s="1"/>
  <c r="AO18" i="17" s="1"/>
  <c r="AP18" i="17" s="1"/>
  <c r="AQ18" i="17" s="1"/>
  <c r="AR18" i="17" s="1"/>
  <c r="AS18" i="17" s="1"/>
  <c r="AT18" i="17" s="1"/>
  <c r="AU18" i="17" s="1"/>
  <c r="AV18" i="17" s="1"/>
  <c r="AW18" i="17" s="1"/>
  <c r="AX18" i="17" s="1"/>
  <c r="AY18" i="17" s="1"/>
  <c r="AZ18" i="17" s="1"/>
  <c r="BA18" i="17" s="1"/>
  <c r="BB18" i="17" s="1"/>
  <c r="BC18" i="17" s="1"/>
  <c r="BD18" i="17" s="1"/>
  <c r="BE18" i="17" s="1"/>
  <c r="G19" i="43"/>
  <c r="H19" i="43" s="1"/>
  <c r="I19" i="43" s="1"/>
  <c r="J19" i="43" s="1"/>
  <c r="K19" i="43" s="1"/>
  <c r="L19" i="43" s="1"/>
  <c r="M19" i="43" s="1"/>
  <c r="N19" i="43" s="1"/>
  <c r="O19" i="43" s="1"/>
  <c r="P19" i="43" s="1"/>
  <c r="Q19" i="43" s="1"/>
  <c r="R19" i="43" s="1"/>
  <c r="S19" i="43" s="1"/>
  <c r="T19" i="43" s="1"/>
  <c r="U19" i="43" s="1"/>
  <c r="V19" i="43" s="1"/>
  <c r="W19" i="43" s="1"/>
  <c r="X19" i="43" s="1"/>
  <c r="Y19" i="43" s="1"/>
  <c r="Z19" i="43" s="1"/>
  <c r="AA19" i="43" s="1"/>
  <c r="AB19" i="43" s="1"/>
  <c r="AC19" i="43" s="1"/>
  <c r="AD19" i="43" s="1"/>
  <c r="AE19" i="43" s="1"/>
  <c r="AF19" i="43" s="1"/>
  <c r="AG19" i="43" s="1"/>
  <c r="AH19" i="43" s="1"/>
  <c r="AI19" i="43" s="1"/>
  <c r="AJ19" i="43" s="1"/>
  <c r="AK19" i="43" s="1"/>
  <c r="AL19" i="43" s="1"/>
  <c r="AM19" i="43" s="1"/>
  <c r="AN19" i="43" s="1"/>
  <c r="AO19" i="43" s="1"/>
  <c r="AP19" i="43" s="1"/>
  <c r="AQ19" i="43" s="1"/>
  <c r="AR19" i="43" s="1"/>
  <c r="AS19" i="43" s="1"/>
  <c r="AT19" i="43" s="1"/>
  <c r="AU19" i="43" s="1"/>
  <c r="AV19" i="43" s="1"/>
  <c r="AW19" i="43" s="1"/>
  <c r="AX19" i="43" s="1"/>
  <c r="AY19" i="43" s="1"/>
  <c r="AZ19" i="43" s="1"/>
  <c r="BA19" i="43" s="1"/>
  <c r="BB19" i="43" s="1"/>
  <c r="BC19" i="43" s="1"/>
  <c r="BD19" i="43" s="1"/>
  <c r="BE19" i="43" s="1"/>
  <c r="C13" i="17"/>
  <c r="F9" i="3"/>
  <c r="F10" i="3" s="1"/>
  <c r="G9" i="3"/>
  <c r="G10" i="3" s="1"/>
  <c r="F13" i="43" l="1"/>
  <c r="E19" i="43"/>
  <c r="N10" i="43"/>
  <c r="O5" i="43"/>
  <c r="E18" i="17"/>
  <c r="D13" i="17"/>
  <c r="B48" i="13"/>
  <c r="G13" i="43" l="1"/>
  <c r="O10" i="43"/>
  <c r="P5" i="43"/>
  <c r="F13" i="17"/>
  <c r="B23" i="18"/>
  <c r="E9" i="13"/>
  <c r="H10" i="13" s="1"/>
  <c r="C14" i="14"/>
  <c r="E10" i="14"/>
  <c r="B7" i="14"/>
  <c r="H15" i="4"/>
  <c r="D13" i="4" s="1"/>
  <c r="C6" i="4"/>
  <c r="E6" i="13"/>
  <c r="H6" i="13" s="1"/>
  <c r="B34" i="13"/>
  <c r="C32" i="13" s="1"/>
  <c r="D32" i="13" s="1"/>
  <c r="B20" i="13"/>
  <c r="C18" i="13" s="1"/>
  <c r="D18" i="13" s="1"/>
  <c r="K8" i="4"/>
  <c r="Q5" i="43" l="1"/>
  <c r="P10" i="43"/>
  <c r="C19" i="13"/>
  <c r="D19" i="13" s="1"/>
  <c r="D6" i="4"/>
  <c r="E6" i="4" s="1"/>
  <c r="F6" i="4" s="1"/>
  <c r="G6" i="4" s="1"/>
  <c r="E19" i="4" s="1"/>
  <c r="C7" i="4"/>
  <c r="H13" i="43"/>
  <c r="G21" i="17"/>
  <c r="E13" i="4"/>
  <c r="E20" i="4" s="1"/>
  <c r="E21" i="4" s="1"/>
  <c r="C17" i="43" s="1"/>
  <c r="D17" i="43" s="1"/>
  <c r="F17" i="43" s="1"/>
  <c r="I7" i="17"/>
  <c r="G16" i="17"/>
  <c r="I6" i="17"/>
  <c r="G20" i="17"/>
  <c r="G19" i="17"/>
  <c r="I15" i="17"/>
  <c r="G11" i="17"/>
  <c r="I5" i="17"/>
  <c r="I10" i="17" s="1"/>
  <c r="F10" i="14"/>
  <c r="E14" i="14"/>
  <c r="F14" i="14"/>
  <c r="H6" i="4"/>
  <c r="C27" i="13"/>
  <c r="D27" i="13" s="1"/>
  <c r="D45" i="13"/>
  <c r="D39" i="13"/>
  <c r="C33" i="13"/>
  <c r="D33" i="13" s="1"/>
  <c r="H9" i="13"/>
  <c r="B44" i="13" s="1"/>
  <c r="H8" i="13"/>
  <c r="H7" i="13"/>
  <c r="C44" i="13" s="1"/>
  <c r="C28" i="13"/>
  <c r="D28" i="13" s="1"/>
  <c r="C30" i="13"/>
  <c r="D30" i="13" s="1"/>
  <c r="C31" i="13"/>
  <c r="D31" i="13" s="1"/>
  <c r="C29" i="13"/>
  <c r="D29" i="13" s="1"/>
  <c r="H11" i="13"/>
  <c r="C17" i="13"/>
  <c r="D17" i="13" s="1"/>
  <c r="G17" i="43" l="1"/>
  <c r="H17" i="43" s="1"/>
  <c r="I17" i="43" s="1"/>
  <c r="J17" i="43" s="1"/>
  <c r="K17" i="43" s="1"/>
  <c r="L17" i="43" s="1"/>
  <c r="M17" i="43" s="1"/>
  <c r="N17" i="43" s="1"/>
  <c r="O17" i="43" s="1"/>
  <c r="P17" i="43" s="1"/>
  <c r="Q17" i="43" s="1"/>
  <c r="R17" i="43" s="1"/>
  <c r="S17" i="43" s="1"/>
  <c r="T17" i="43" s="1"/>
  <c r="U17" i="43" s="1"/>
  <c r="V17" i="43" s="1"/>
  <c r="W17" i="43" s="1"/>
  <c r="X17" i="43" s="1"/>
  <c r="Y17" i="43" s="1"/>
  <c r="Z17" i="43" s="1"/>
  <c r="AA17" i="43" s="1"/>
  <c r="AB17" i="43" s="1"/>
  <c r="AC17" i="43" s="1"/>
  <c r="AD17" i="43" s="1"/>
  <c r="AE17" i="43" s="1"/>
  <c r="AF17" i="43" s="1"/>
  <c r="AG17" i="43" s="1"/>
  <c r="AH17" i="43" s="1"/>
  <c r="AI17" i="43" s="1"/>
  <c r="AJ17" i="43" s="1"/>
  <c r="AK17" i="43" s="1"/>
  <c r="AL17" i="43" s="1"/>
  <c r="AM17" i="43" s="1"/>
  <c r="AN17" i="43" s="1"/>
  <c r="AO17" i="43" s="1"/>
  <c r="AP17" i="43" s="1"/>
  <c r="AQ17" i="43" s="1"/>
  <c r="AR17" i="43" s="1"/>
  <c r="AS17" i="43" s="1"/>
  <c r="AT17" i="43" s="1"/>
  <c r="AU17" i="43" s="1"/>
  <c r="AV17" i="43" s="1"/>
  <c r="AW17" i="43" s="1"/>
  <c r="AX17" i="43" s="1"/>
  <c r="AY17" i="43" s="1"/>
  <c r="AZ17" i="43" s="1"/>
  <c r="BA17" i="43" s="1"/>
  <c r="BB17" i="43" s="1"/>
  <c r="BC17" i="43" s="1"/>
  <c r="BD17" i="43" s="1"/>
  <c r="BE17" i="43" s="1"/>
  <c r="H24" i="43"/>
  <c r="H26" i="43" s="1"/>
  <c r="I13" i="43"/>
  <c r="R5" i="43"/>
  <c r="Q10" i="43"/>
  <c r="H21" i="17"/>
  <c r="I21" i="17" s="1"/>
  <c r="J21" i="17" s="1"/>
  <c r="K21" i="17" s="1"/>
  <c r="L21" i="17" s="1"/>
  <c r="M21" i="17" s="1"/>
  <c r="N21" i="17" s="1"/>
  <c r="O21" i="17" s="1"/>
  <c r="P21" i="17" s="1"/>
  <c r="Q21" i="17" s="1"/>
  <c r="R21" i="17" s="1"/>
  <c r="S21" i="17" s="1"/>
  <c r="T21" i="17" s="1"/>
  <c r="U21" i="17" s="1"/>
  <c r="V21" i="17" s="1"/>
  <c r="W21" i="17" s="1"/>
  <c r="X21" i="17" s="1"/>
  <c r="Y21" i="17" s="1"/>
  <c r="Z21" i="17" s="1"/>
  <c r="AA21" i="17" s="1"/>
  <c r="AB21" i="17" s="1"/>
  <c r="AC21" i="17" s="1"/>
  <c r="AD21" i="17" s="1"/>
  <c r="AE21" i="17" s="1"/>
  <c r="AF21" i="17" s="1"/>
  <c r="AG21" i="17" s="1"/>
  <c r="AH21" i="17" s="1"/>
  <c r="AI21" i="17" s="1"/>
  <c r="AJ21" i="17" s="1"/>
  <c r="AK21" i="17" s="1"/>
  <c r="AL21" i="17" s="1"/>
  <c r="AM21" i="17" s="1"/>
  <c r="AN21" i="17" s="1"/>
  <c r="AO21" i="17" s="1"/>
  <c r="AP21" i="17" s="1"/>
  <c r="AQ21" i="17" s="1"/>
  <c r="AR21" i="17" s="1"/>
  <c r="AS21" i="17" s="1"/>
  <c r="AT21" i="17" s="1"/>
  <c r="AU21" i="17" s="1"/>
  <c r="AV21" i="17" s="1"/>
  <c r="AW21" i="17" s="1"/>
  <c r="AX21" i="17" s="1"/>
  <c r="AY21" i="17" s="1"/>
  <c r="AZ21" i="17" s="1"/>
  <c r="BA21" i="17" s="1"/>
  <c r="BB21" i="17" s="1"/>
  <c r="BC21" i="17" s="1"/>
  <c r="BD21" i="17" s="1"/>
  <c r="BE21" i="17" s="1"/>
  <c r="H16" i="17"/>
  <c r="J7" i="17"/>
  <c r="K7" i="17" s="1"/>
  <c r="L7" i="17" s="1"/>
  <c r="M7" i="17" s="1"/>
  <c r="N7" i="17" s="1"/>
  <c r="O7" i="17" s="1"/>
  <c r="P7" i="17" s="1"/>
  <c r="Q7" i="17" s="1"/>
  <c r="R7" i="17" s="1"/>
  <c r="S7" i="17" s="1"/>
  <c r="T7" i="17" s="1"/>
  <c r="U7" i="17" s="1"/>
  <c r="V7" i="17" s="1"/>
  <c r="W7" i="17" s="1"/>
  <c r="X7" i="17" s="1"/>
  <c r="Y7" i="17" s="1"/>
  <c r="Z7" i="17" s="1"/>
  <c r="AA7" i="17" s="1"/>
  <c r="AB7" i="17" s="1"/>
  <c r="AC7" i="17" s="1"/>
  <c r="AD7" i="17" s="1"/>
  <c r="AE7" i="17" s="1"/>
  <c r="AF7" i="17" s="1"/>
  <c r="AG7" i="17" s="1"/>
  <c r="AH7" i="17" s="1"/>
  <c r="AI7" i="17" s="1"/>
  <c r="AJ7" i="17" s="1"/>
  <c r="AK7" i="17" s="1"/>
  <c r="AL7" i="17" s="1"/>
  <c r="AM7" i="17" s="1"/>
  <c r="AN7" i="17" s="1"/>
  <c r="AO7" i="17" s="1"/>
  <c r="AP7" i="17" s="1"/>
  <c r="AQ7" i="17" s="1"/>
  <c r="AR7" i="17" s="1"/>
  <c r="AS7" i="17" s="1"/>
  <c r="AT7" i="17" s="1"/>
  <c r="AU7" i="17" s="1"/>
  <c r="AV7" i="17" s="1"/>
  <c r="AW7" i="17" s="1"/>
  <c r="AX7" i="17" s="1"/>
  <c r="AY7" i="17" s="1"/>
  <c r="AZ7" i="17" s="1"/>
  <c r="BA7" i="17" s="1"/>
  <c r="BB7" i="17" s="1"/>
  <c r="BC7" i="17" s="1"/>
  <c r="BD7" i="17" s="1"/>
  <c r="BE7" i="17" s="1"/>
  <c r="G13" i="17"/>
  <c r="C17" i="17"/>
  <c r="D17" i="17" s="1"/>
  <c r="F17" i="17" s="1"/>
  <c r="J15" i="17"/>
  <c r="K15" i="17" s="1"/>
  <c r="L15" i="17" s="1"/>
  <c r="M15" i="17" s="1"/>
  <c r="N15" i="17" s="1"/>
  <c r="O15" i="17" s="1"/>
  <c r="P15" i="17" s="1"/>
  <c r="Q15" i="17" s="1"/>
  <c r="R15" i="17" s="1"/>
  <c r="S15" i="17" s="1"/>
  <c r="T15" i="17" s="1"/>
  <c r="U15" i="17" s="1"/>
  <c r="V15" i="17" s="1"/>
  <c r="W15" i="17" s="1"/>
  <c r="X15" i="17" s="1"/>
  <c r="Y15" i="17" s="1"/>
  <c r="Z15" i="17" s="1"/>
  <c r="AA15" i="17" s="1"/>
  <c r="AB15" i="17" s="1"/>
  <c r="AC15" i="17" s="1"/>
  <c r="AD15" i="17" s="1"/>
  <c r="AE15" i="17" s="1"/>
  <c r="AF15" i="17" s="1"/>
  <c r="AG15" i="17" s="1"/>
  <c r="AH15" i="17" s="1"/>
  <c r="AI15" i="17" s="1"/>
  <c r="AJ15" i="17" s="1"/>
  <c r="AK15" i="17" s="1"/>
  <c r="AL15" i="17" s="1"/>
  <c r="AM15" i="17" s="1"/>
  <c r="AN15" i="17" s="1"/>
  <c r="AO15" i="17" s="1"/>
  <c r="AP15" i="17" s="1"/>
  <c r="AQ15" i="17" s="1"/>
  <c r="AR15" i="17" s="1"/>
  <c r="AS15" i="17" s="1"/>
  <c r="AT15" i="17" s="1"/>
  <c r="AU15" i="17" s="1"/>
  <c r="AV15" i="17" s="1"/>
  <c r="AW15" i="17" s="1"/>
  <c r="AX15" i="17" s="1"/>
  <c r="AY15" i="17" s="1"/>
  <c r="AZ15" i="17" s="1"/>
  <c r="BA15" i="17" s="1"/>
  <c r="BB15" i="17" s="1"/>
  <c r="BC15" i="17" s="1"/>
  <c r="BD15" i="17" s="1"/>
  <c r="BE15" i="17" s="1"/>
  <c r="B17" i="14"/>
  <c r="J6" i="17"/>
  <c r="K6" i="17" s="1"/>
  <c r="L6" i="17" s="1"/>
  <c r="M6" i="17" s="1"/>
  <c r="N6" i="17" s="1"/>
  <c r="O6" i="17" s="1"/>
  <c r="P6" i="17" s="1"/>
  <c r="Q6" i="17" s="1"/>
  <c r="R6" i="17" s="1"/>
  <c r="S6" i="17" s="1"/>
  <c r="T6" i="17" s="1"/>
  <c r="U6" i="17" s="1"/>
  <c r="V6" i="17" s="1"/>
  <c r="W6" i="17" s="1"/>
  <c r="X6" i="17" s="1"/>
  <c r="Y6" i="17" s="1"/>
  <c r="Z6" i="17" s="1"/>
  <c r="AA6" i="17" s="1"/>
  <c r="AB6" i="17" s="1"/>
  <c r="AC6" i="17" s="1"/>
  <c r="AD6" i="17" s="1"/>
  <c r="AE6" i="17" s="1"/>
  <c r="AF6" i="17" s="1"/>
  <c r="AG6" i="17" s="1"/>
  <c r="AH6" i="17" s="1"/>
  <c r="AI6" i="17" s="1"/>
  <c r="AJ6" i="17" s="1"/>
  <c r="AK6" i="17" s="1"/>
  <c r="AL6" i="17" s="1"/>
  <c r="AM6" i="17" s="1"/>
  <c r="AN6" i="17" s="1"/>
  <c r="AO6" i="17" s="1"/>
  <c r="AP6" i="17" s="1"/>
  <c r="AQ6" i="17" s="1"/>
  <c r="AR6" i="17" s="1"/>
  <c r="AS6" i="17" s="1"/>
  <c r="AT6" i="17" s="1"/>
  <c r="AU6" i="17" s="1"/>
  <c r="AV6" i="17" s="1"/>
  <c r="AW6" i="17" s="1"/>
  <c r="AX6" i="17" s="1"/>
  <c r="AY6" i="17" s="1"/>
  <c r="AZ6" i="17" s="1"/>
  <c r="BA6" i="17" s="1"/>
  <c r="BB6" i="17" s="1"/>
  <c r="BC6" i="17" s="1"/>
  <c r="BD6" i="17" s="1"/>
  <c r="BE6" i="17" s="1"/>
  <c r="J5" i="17"/>
  <c r="H19" i="17"/>
  <c r="I19" i="17" s="1"/>
  <c r="J19" i="17" s="1"/>
  <c r="K19" i="17" s="1"/>
  <c r="L19" i="17" s="1"/>
  <c r="M19" i="17" s="1"/>
  <c r="N19" i="17" s="1"/>
  <c r="O19" i="17" s="1"/>
  <c r="P19" i="17" s="1"/>
  <c r="Q19" i="17" s="1"/>
  <c r="R19" i="17" s="1"/>
  <c r="S19" i="17" s="1"/>
  <c r="T19" i="17" s="1"/>
  <c r="U19" i="17" s="1"/>
  <c r="V19" i="17" s="1"/>
  <c r="W19" i="17" s="1"/>
  <c r="X19" i="17" s="1"/>
  <c r="Y19" i="17" s="1"/>
  <c r="Z19" i="17" s="1"/>
  <c r="AA19" i="17" s="1"/>
  <c r="AB19" i="17" s="1"/>
  <c r="AC19" i="17" s="1"/>
  <c r="AD19" i="17" s="1"/>
  <c r="AE19" i="17" s="1"/>
  <c r="AF19" i="17" s="1"/>
  <c r="AG19" i="17" s="1"/>
  <c r="AH19" i="17" s="1"/>
  <c r="AI19" i="17" s="1"/>
  <c r="AJ19" i="17" s="1"/>
  <c r="AK19" i="17" s="1"/>
  <c r="AL19" i="17" s="1"/>
  <c r="AM19" i="17" s="1"/>
  <c r="AN19" i="17" s="1"/>
  <c r="AO19" i="17" s="1"/>
  <c r="AP19" i="17" s="1"/>
  <c r="AQ19" i="17" s="1"/>
  <c r="AR19" i="17" s="1"/>
  <c r="AS19" i="17" s="1"/>
  <c r="AT19" i="17" s="1"/>
  <c r="AU19" i="17" s="1"/>
  <c r="AV19" i="17" s="1"/>
  <c r="AW19" i="17" s="1"/>
  <c r="AX19" i="17" s="1"/>
  <c r="AY19" i="17" s="1"/>
  <c r="AZ19" i="17" s="1"/>
  <c r="BA19" i="17" s="1"/>
  <c r="BB19" i="17" s="1"/>
  <c r="BC19" i="17" s="1"/>
  <c r="BD19" i="17" s="1"/>
  <c r="BE19" i="17" s="1"/>
  <c r="H20" i="17"/>
  <c r="I20" i="17" s="1"/>
  <c r="J20" i="17" s="1"/>
  <c r="K20" i="17" s="1"/>
  <c r="L20" i="17" s="1"/>
  <c r="M20" i="17" s="1"/>
  <c r="N20" i="17" s="1"/>
  <c r="O20" i="17" s="1"/>
  <c r="P20" i="17" s="1"/>
  <c r="Q20" i="17" s="1"/>
  <c r="R20" i="17" s="1"/>
  <c r="S20" i="17" s="1"/>
  <c r="T20" i="17" s="1"/>
  <c r="U20" i="17" s="1"/>
  <c r="V20" i="17" s="1"/>
  <c r="W20" i="17" s="1"/>
  <c r="X20" i="17" s="1"/>
  <c r="Y20" i="17" s="1"/>
  <c r="Z20" i="17" s="1"/>
  <c r="AA20" i="17" s="1"/>
  <c r="AB20" i="17" s="1"/>
  <c r="AC20" i="17" s="1"/>
  <c r="AD20" i="17" s="1"/>
  <c r="AE20" i="17" s="1"/>
  <c r="AF20" i="17" s="1"/>
  <c r="AG20" i="17" s="1"/>
  <c r="AH20" i="17" s="1"/>
  <c r="AI20" i="17" s="1"/>
  <c r="AJ20" i="17" s="1"/>
  <c r="AK20" i="17" s="1"/>
  <c r="AL20" i="17" s="1"/>
  <c r="AM20" i="17" s="1"/>
  <c r="AN20" i="17" s="1"/>
  <c r="AO20" i="17" s="1"/>
  <c r="AP20" i="17" s="1"/>
  <c r="AQ20" i="17" s="1"/>
  <c r="AR20" i="17" s="1"/>
  <c r="AS20" i="17" s="1"/>
  <c r="AT20" i="17" s="1"/>
  <c r="AU20" i="17" s="1"/>
  <c r="AV20" i="17" s="1"/>
  <c r="AW20" i="17" s="1"/>
  <c r="AX20" i="17" s="1"/>
  <c r="AY20" i="17" s="1"/>
  <c r="AZ20" i="17" s="1"/>
  <c r="BA20" i="17" s="1"/>
  <c r="BB20" i="17" s="1"/>
  <c r="BC20" i="17" s="1"/>
  <c r="BD20" i="17" s="1"/>
  <c r="BE20" i="17" s="1"/>
  <c r="D44" i="13"/>
  <c r="D46" i="13" s="1"/>
  <c r="C45" i="13"/>
  <c r="C39" i="13"/>
  <c r="B45" i="13"/>
  <c r="B46" i="13" s="1"/>
  <c r="B39" i="13"/>
  <c r="C46" i="13"/>
  <c r="C4" i="17" l="1"/>
  <c r="C10" i="17" s="1"/>
  <c r="C4" i="43"/>
  <c r="J13" i="43"/>
  <c r="I24" i="43"/>
  <c r="I26" i="43" s="1"/>
  <c r="J10" i="17"/>
  <c r="S5" i="43"/>
  <c r="R10" i="43"/>
  <c r="E17" i="43"/>
  <c r="D4" i="17"/>
  <c r="D10" i="17" s="1"/>
  <c r="H13" i="17"/>
  <c r="I13" i="17" s="1"/>
  <c r="J13" i="17" s="1"/>
  <c r="K13" i="17" s="1"/>
  <c r="L13" i="17" s="1"/>
  <c r="M13" i="17" s="1"/>
  <c r="N13" i="17" s="1"/>
  <c r="O13" i="17" s="1"/>
  <c r="P13" i="17" s="1"/>
  <c r="Q13" i="17" s="1"/>
  <c r="R13" i="17" s="1"/>
  <c r="S13" i="17" s="1"/>
  <c r="T13" i="17" s="1"/>
  <c r="U13" i="17" s="1"/>
  <c r="V13" i="17" s="1"/>
  <c r="W13" i="17" s="1"/>
  <c r="X13" i="17" s="1"/>
  <c r="Y13" i="17" s="1"/>
  <c r="Z13" i="17" s="1"/>
  <c r="AA13" i="17" s="1"/>
  <c r="AB13" i="17" s="1"/>
  <c r="AC13" i="17" s="1"/>
  <c r="AD13" i="17" s="1"/>
  <c r="AE13" i="17" s="1"/>
  <c r="AF13" i="17" s="1"/>
  <c r="AG13" i="17" s="1"/>
  <c r="AH13" i="17" s="1"/>
  <c r="AI13" i="17" s="1"/>
  <c r="AJ13" i="17" s="1"/>
  <c r="AK13" i="17" s="1"/>
  <c r="AL13" i="17" s="1"/>
  <c r="AM13" i="17" s="1"/>
  <c r="AN13" i="17" s="1"/>
  <c r="AO13" i="17" s="1"/>
  <c r="AP13" i="17" s="1"/>
  <c r="AQ13" i="17" s="1"/>
  <c r="AR13" i="17" s="1"/>
  <c r="AS13" i="17" s="1"/>
  <c r="AT13" i="17" s="1"/>
  <c r="AU13" i="17" s="1"/>
  <c r="AV13" i="17" s="1"/>
  <c r="AW13" i="17" s="1"/>
  <c r="AX13" i="17" s="1"/>
  <c r="AY13" i="17" s="1"/>
  <c r="AZ13" i="17" s="1"/>
  <c r="BA13" i="17" s="1"/>
  <c r="BB13" i="17" s="1"/>
  <c r="BC13" i="17" s="1"/>
  <c r="BD13" i="17" s="1"/>
  <c r="BE13" i="17" s="1"/>
  <c r="E15" i="17"/>
  <c r="E21" i="17"/>
  <c r="E20" i="17"/>
  <c r="E19" i="17"/>
  <c r="E6" i="17"/>
  <c r="E7" i="17"/>
  <c r="I16" i="17"/>
  <c r="K5" i="17"/>
  <c r="K10" i="17" s="1"/>
  <c r="B47" i="13"/>
  <c r="B49" i="13" s="1"/>
  <c r="C14" i="43" s="1"/>
  <c r="K13" i="43" l="1"/>
  <c r="J24" i="43"/>
  <c r="J26" i="43" s="1"/>
  <c r="D14" i="43"/>
  <c r="C24" i="43"/>
  <c r="S10" i="43"/>
  <c r="T5" i="43"/>
  <c r="D4" i="43"/>
  <c r="C10" i="43"/>
  <c r="E13" i="17"/>
  <c r="F4" i="17"/>
  <c r="F10" i="17" s="1"/>
  <c r="C14" i="17"/>
  <c r="C22" i="17" s="1"/>
  <c r="G17" i="17"/>
  <c r="J16" i="17"/>
  <c r="L5" i="17"/>
  <c r="L10" i="17" s="1"/>
  <c r="G4" i="17"/>
  <c r="G10" i="17" s="1"/>
  <c r="F4" i="43" l="1"/>
  <c r="D10" i="43"/>
  <c r="F14" i="43"/>
  <c r="D24" i="43"/>
  <c r="U5" i="43"/>
  <c r="T10" i="43"/>
  <c r="L13" i="43"/>
  <c r="K24" i="43"/>
  <c r="K26" i="43" s="1"/>
  <c r="E4" i="17"/>
  <c r="D14" i="17"/>
  <c r="H17" i="17"/>
  <c r="K16" i="17"/>
  <c r="M5" i="17"/>
  <c r="M10" i="17" s="1"/>
  <c r="G14" i="43" l="1"/>
  <c r="G24" i="43" s="1"/>
  <c r="E14" i="43"/>
  <c r="F24" i="43"/>
  <c r="L24" i="43"/>
  <c r="L26" i="43" s="1"/>
  <c r="M13" i="43"/>
  <c r="V5" i="43"/>
  <c r="U10" i="43"/>
  <c r="G4" i="43"/>
  <c r="G10" i="43" s="1"/>
  <c r="E4" i="43"/>
  <c r="F10" i="43"/>
  <c r="F14" i="17"/>
  <c r="D22" i="17"/>
  <c r="I17" i="17"/>
  <c r="L16" i="17"/>
  <c r="N5" i="17"/>
  <c r="N10" i="17" s="1"/>
  <c r="F26" i="43" l="1"/>
  <c r="W5" i="43"/>
  <c r="V10" i="43"/>
  <c r="N13" i="43"/>
  <c r="M24" i="43"/>
  <c r="M26" i="43" s="1"/>
  <c r="G26" i="43"/>
  <c r="F22" i="17"/>
  <c r="G14" i="17"/>
  <c r="E14" i="17" s="1"/>
  <c r="J17" i="17"/>
  <c r="M16" i="17"/>
  <c r="O5" i="17"/>
  <c r="O10" i="17" s="1"/>
  <c r="B30" i="43" l="1"/>
  <c r="O13" i="43"/>
  <c r="N24" i="43"/>
  <c r="N26" i="43" s="1"/>
  <c r="X5" i="43"/>
  <c r="W10" i="43"/>
  <c r="K17" i="17"/>
  <c r="N16" i="17"/>
  <c r="P5" i="17"/>
  <c r="P10" i="17" s="1"/>
  <c r="O24" i="43" l="1"/>
  <c r="P13" i="43"/>
  <c r="Y5" i="43"/>
  <c r="X10" i="43"/>
  <c r="L17" i="17"/>
  <c r="O16" i="17"/>
  <c r="Q5" i="17"/>
  <c r="Q10" i="17" s="1"/>
  <c r="Q13" i="43" l="1"/>
  <c r="P24" i="43"/>
  <c r="P26" i="43" s="1"/>
  <c r="Z5" i="43"/>
  <c r="Y10" i="43"/>
  <c r="O26" i="43"/>
  <c r="M17" i="17"/>
  <c r="P16" i="17"/>
  <c r="R5" i="17"/>
  <c r="R10" i="17" s="1"/>
  <c r="AA5" i="43" l="1"/>
  <c r="Z10" i="43"/>
  <c r="Q24" i="43"/>
  <c r="R13" i="43"/>
  <c r="N17" i="17"/>
  <c r="Q16" i="17"/>
  <c r="S5" i="17"/>
  <c r="S10" i="17" s="1"/>
  <c r="R24" i="43" l="1"/>
  <c r="R26" i="43" s="1"/>
  <c r="S13" i="43"/>
  <c r="Q26" i="43"/>
  <c r="AB5" i="43"/>
  <c r="AA10" i="43"/>
  <c r="O17" i="17"/>
  <c r="R16" i="17"/>
  <c r="T5" i="17"/>
  <c r="T10" i="17" s="1"/>
  <c r="S24" i="43" l="1"/>
  <c r="S26" i="43" s="1"/>
  <c r="T13" i="43"/>
  <c r="AB10" i="43"/>
  <c r="AC5" i="43"/>
  <c r="P17" i="17"/>
  <c r="S16" i="17"/>
  <c r="U5" i="17"/>
  <c r="U10" i="17" s="1"/>
  <c r="AC10" i="43" l="1"/>
  <c r="AD5" i="43"/>
  <c r="T24" i="43"/>
  <c r="T26" i="43" s="1"/>
  <c r="U13" i="43"/>
  <c r="Q17" i="17"/>
  <c r="T16" i="17"/>
  <c r="V5" i="17"/>
  <c r="V10" i="17" s="1"/>
  <c r="U24" i="43" l="1"/>
  <c r="U26" i="43" s="1"/>
  <c r="V13" i="43"/>
  <c r="AE5" i="43"/>
  <c r="AD10" i="43"/>
  <c r="R17" i="17"/>
  <c r="U16" i="17"/>
  <c r="W5" i="17"/>
  <c r="W10" i="17" s="1"/>
  <c r="AE10" i="43" l="1"/>
  <c r="AF5" i="43"/>
  <c r="W13" i="43"/>
  <c r="V24" i="43"/>
  <c r="V26" i="43" s="1"/>
  <c r="S17" i="17"/>
  <c r="V16" i="17"/>
  <c r="X5" i="17"/>
  <c r="X10" i="17" s="1"/>
  <c r="W24" i="43" l="1"/>
  <c r="W26" i="43" s="1"/>
  <c r="X13" i="43"/>
  <c r="AF10" i="43"/>
  <c r="AG5" i="43"/>
  <c r="T17" i="17"/>
  <c r="W16" i="17"/>
  <c r="Y5" i="17"/>
  <c r="Y10" i="17" s="1"/>
  <c r="AG10" i="43" l="1"/>
  <c r="AH5" i="43"/>
  <c r="Y13" i="43"/>
  <c r="X24" i="43"/>
  <c r="X26" i="43" s="1"/>
  <c r="U17" i="17"/>
  <c r="X16" i="17"/>
  <c r="Z5" i="17"/>
  <c r="Z10" i="17" s="1"/>
  <c r="Z13" i="43" l="1"/>
  <c r="Y24" i="43"/>
  <c r="Y26" i="43" s="1"/>
  <c r="AH10" i="43"/>
  <c r="AI5" i="43"/>
  <c r="V17" i="17"/>
  <c r="Y16" i="17"/>
  <c r="AA5" i="17"/>
  <c r="AA10" i="17" s="1"/>
  <c r="AJ5" i="43" l="1"/>
  <c r="AI10" i="43"/>
  <c r="AA13" i="43"/>
  <c r="Z24" i="43"/>
  <c r="Z26" i="43" s="1"/>
  <c r="W17" i="17"/>
  <c r="Z16" i="17"/>
  <c r="AB5" i="17"/>
  <c r="AB10" i="17" s="1"/>
  <c r="AA24" i="43" l="1"/>
  <c r="AA26" i="43" s="1"/>
  <c r="AB13" i="43"/>
  <c r="AJ10" i="43"/>
  <c r="AK5" i="43"/>
  <c r="X17" i="17"/>
  <c r="AA16" i="17"/>
  <c r="AC5" i="17"/>
  <c r="AC10" i="17" s="1"/>
  <c r="AK10" i="43" l="1"/>
  <c r="AL5" i="43"/>
  <c r="AC13" i="43"/>
  <c r="AB24" i="43"/>
  <c r="AB26" i="43" s="1"/>
  <c r="Y17" i="17"/>
  <c r="AB16" i="17"/>
  <c r="AD5" i="17"/>
  <c r="AD10" i="17" s="1"/>
  <c r="AC24" i="43" l="1"/>
  <c r="AC26" i="43" s="1"/>
  <c r="AD13" i="43"/>
  <c r="AL10" i="43"/>
  <c r="AM5" i="43"/>
  <c r="Z17" i="17"/>
  <c r="AC16" i="17"/>
  <c r="AE5" i="17"/>
  <c r="AE10" i="17" s="1"/>
  <c r="AD24" i="43" l="1"/>
  <c r="AD26" i="43" s="1"/>
  <c r="AE13" i="43"/>
  <c r="AM10" i="43"/>
  <c r="AN5" i="43"/>
  <c r="AA17" i="17"/>
  <c r="AD16" i="17"/>
  <c r="AF5" i="17"/>
  <c r="AF10" i="17" s="1"/>
  <c r="AO5" i="43" l="1"/>
  <c r="AN10" i="43"/>
  <c r="AE24" i="43"/>
  <c r="AE26" i="43" s="1"/>
  <c r="AF13" i="43"/>
  <c r="AB17" i="17"/>
  <c r="AE16" i="17"/>
  <c r="AG5" i="17"/>
  <c r="AG10" i="17" s="1"/>
  <c r="AF24" i="43" l="1"/>
  <c r="AF26" i="43" s="1"/>
  <c r="AG13" i="43"/>
  <c r="AP5" i="43"/>
  <c r="AO10" i="43"/>
  <c r="AC17" i="17"/>
  <c r="AF16" i="17"/>
  <c r="AH5" i="17"/>
  <c r="AH10" i="17" s="1"/>
  <c r="AP10" i="43" l="1"/>
  <c r="AQ5" i="43"/>
  <c r="AH13" i="43"/>
  <c r="AG24" i="43"/>
  <c r="AG26" i="43" s="1"/>
  <c r="AD17" i="17"/>
  <c r="AG16" i="17"/>
  <c r="AI5" i="17"/>
  <c r="AI10" i="17" s="1"/>
  <c r="AH24" i="43" l="1"/>
  <c r="AH26" i="43" s="1"/>
  <c r="AI13" i="43"/>
  <c r="AQ10" i="43"/>
  <c r="AR5" i="43"/>
  <c r="AE17" i="17"/>
  <c r="AH16" i="17"/>
  <c r="AJ5" i="17"/>
  <c r="AJ10" i="17" s="1"/>
  <c r="AS5" i="43" l="1"/>
  <c r="AR10" i="43"/>
  <c r="AJ13" i="43"/>
  <c r="AI24" i="43"/>
  <c r="AI26" i="43" s="1"/>
  <c r="AF17" i="17"/>
  <c r="AI16" i="17"/>
  <c r="AK5" i="17"/>
  <c r="AK10" i="17" s="1"/>
  <c r="AK13" i="43" l="1"/>
  <c r="AJ24" i="43"/>
  <c r="AJ26" i="43" s="1"/>
  <c r="AS10" i="43"/>
  <c r="AT5" i="43"/>
  <c r="AG17" i="17"/>
  <c r="AJ16" i="17"/>
  <c r="AL5" i="17"/>
  <c r="AL10" i="17" s="1"/>
  <c r="AT10" i="43" l="1"/>
  <c r="AU5" i="43"/>
  <c r="AL13" i="43"/>
  <c r="AK24" i="43"/>
  <c r="AK26" i="43" s="1"/>
  <c r="AH17" i="17"/>
  <c r="AK16" i="17"/>
  <c r="AM5" i="17"/>
  <c r="AM10" i="17" s="1"/>
  <c r="AL24" i="43" l="1"/>
  <c r="AL26" i="43" s="1"/>
  <c r="AM13" i="43"/>
  <c r="AV5" i="43"/>
  <c r="AU10" i="43"/>
  <c r="AI17" i="17"/>
  <c r="AL16" i="17"/>
  <c r="AN5" i="17"/>
  <c r="AN10" i="17" s="1"/>
  <c r="AW5" i="43" l="1"/>
  <c r="AV10" i="43"/>
  <c r="AM24" i="43"/>
  <c r="AM26" i="43" s="1"/>
  <c r="AN13" i="43"/>
  <c r="AJ17" i="17"/>
  <c r="AM16" i="17"/>
  <c r="AO5" i="17"/>
  <c r="AO10" i="17" s="1"/>
  <c r="AN24" i="43" l="1"/>
  <c r="AN26" i="43" s="1"/>
  <c r="AO13" i="43"/>
  <c r="AW10" i="43"/>
  <c r="AX5" i="43"/>
  <c r="AK17" i="17"/>
  <c r="AN16" i="17"/>
  <c r="AP5" i="17"/>
  <c r="AP10" i="17" s="1"/>
  <c r="AY5" i="43" l="1"/>
  <c r="AX10" i="43"/>
  <c r="AO24" i="43"/>
  <c r="AO26" i="43" s="1"/>
  <c r="AP13" i="43"/>
  <c r="AL17" i="17"/>
  <c r="AO16" i="17"/>
  <c r="AQ5" i="17"/>
  <c r="AQ10" i="17" s="1"/>
  <c r="AQ13" i="43" l="1"/>
  <c r="AP24" i="43"/>
  <c r="AP26" i="43" s="1"/>
  <c r="AY10" i="43"/>
  <c r="AZ5" i="43"/>
  <c r="AM17" i="17"/>
  <c r="AP16" i="17"/>
  <c r="AR5" i="17"/>
  <c r="AR10" i="17" s="1"/>
  <c r="BA5" i="43" l="1"/>
  <c r="AZ10" i="43"/>
  <c r="AQ24" i="43"/>
  <c r="AQ26" i="43" s="1"/>
  <c r="AR13" i="43"/>
  <c r="AN17" i="17"/>
  <c r="AQ16" i="17"/>
  <c r="AS5" i="17"/>
  <c r="AS10" i="17" s="1"/>
  <c r="AS13" i="43" l="1"/>
  <c r="AR24" i="43"/>
  <c r="AR26" i="43" s="1"/>
  <c r="BA10" i="43"/>
  <c r="BB5" i="43"/>
  <c r="AO17" i="17"/>
  <c r="AR16" i="17"/>
  <c r="AT5" i="17"/>
  <c r="AT10" i="17" s="1"/>
  <c r="BB10" i="43" l="1"/>
  <c r="BC5" i="43"/>
  <c r="AS24" i="43"/>
  <c r="AS26" i="43" s="1"/>
  <c r="AT13" i="43"/>
  <c r="AP17" i="17"/>
  <c r="AS16" i="17"/>
  <c r="AU5" i="17"/>
  <c r="AU10" i="17" s="1"/>
  <c r="AT24" i="43" l="1"/>
  <c r="AT26" i="43" s="1"/>
  <c r="AU13" i="43"/>
  <c r="BC10" i="43"/>
  <c r="BD5" i="43"/>
  <c r="AQ17" i="17"/>
  <c r="AT16" i="17"/>
  <c r="AV5" i="17"/>
  <c r="AV10" i="17" s="1"/>
  <c r="BD10" i="43" l="1"/>
  <c r="BE5" i="43"/>
  <c r="AU24" i="43"/>
  <c r="AU26" i="43" s="1"/>
  <c r="AV13" i="43"/>
  <c r="AR17" i="17"/>
  <c r="AU16" i="17"/>
  <c r="AW5" i="17"/>
  <c r="AW10" i="17" s="1"/>
  <c r="AW13" i="43" l="1"/>
  <c r="AV24" i="43"/>
  <c r="AV26" i="43" s="1"/>
  <c r="BE10" i="43"/>
  <c r="E5" i="43"/>
  <c r="AS17" i="17"/>
  <c r="AV16" i="17"/>
  <c r="AX5" i="17"/>
  <c r="AX10" i="17" s="1"/>
  <c r="E10" i="43" l="1"/>
  <c r="AX13" i="43"/>
  <c r="AW24" i="43"/>
  <c r="AW26" i="43" s="1"/>
  <c r="AT17" i="17"/>
  <c r="AW16" i="17"/>
  <c r="AY5" i="17"/>
  <c r="AY10" i="17" s="1"/>
  <c r="AX24" i="43" l="1"/>
  <c r="AX26" i="43" s="1"/>
  <c r="AY13" i="43"/>
  <c r="D11" i="43"/>
  <c r="AU17" i="17"/>
  <c r="AX16" i="17"/>
  <c r="AZ5" i="17"/>
  <c r="AZ10" i="17" s="1"/>
  <c r="AY24" i="43" l="1"/>
  <c r="AY26" i="43" s="1"/>
  <c r="AZ13" i="43"/>
  <c r="AV17" i="17"/>
  <c r="AY16" i="17"/>
  <c r="BA5" i="17"/>
  <c r="BA10" i="17" s="1"/>
  <c r="BA13" i="43" l="1"/>
  <c r="AZ24" i="43"/>
  <c r="AZ26" i="43" s="1"/>
  <c r="AW17" i="17"/>
  <c r="AZ16" i="17"/>
  <c r="BB5" i="17"/>
  <c r="BB10" i="17" s="1"/>
  <c r="BA24" i="43" l="1"/>
  <c r="BA26" i="43" s="1"/>
  <c r="BB13" i="43"/>
  <c r="AX17" i="17"/>
  <c r="BA16" i="17"/>
  <c r="BC5" i="17"/>
  <c r="BC10" i="17" s="1"/>
  <c r="BC13" i="43" l="1"/>
  <c r="BB24" i="43"/>
  <c r="BB26" i="43" s="1"/>
  <c r="AY17" i="17"/>
  <c r="BB16" i="17"/>
  <c r="BD5" i="17"/>
  <c r="BD10" i="17" s="1"/>
  <c r="BC24" i="43" l="1"/>
  <c r="BC26" i="43" s="1"/>
  <c r="BD13" i="43"/>
  <c r="G22" i="17"/>
  <c r="AZ17" i="17"/>
  <c r="BC16" i="17"/>
  <c r="BE5" i="17"/>
  <c r="BE10" i="17" s="1"/>
  <c r="BD24" i="43" l="1"/>
  <c r="BD26" i="43" s="1"/>
  <c r="BE13" i="43"/>
  <c r="H22" i="17"/>
  <c r="BA17" i="17"/>
  <c r="E10" i="17"/>
  <c r="E5" i="17"/>
  <c r="BD16" i="17"/>
  <c r="BE24" i="43" l="1"/>
  <c r="E13" i="43"/>
  <c r="D11" i="17"/>
  <c r="I22" i="17"/>
  <c r="B28" i="17" s="1"/>
  <c r="BB17" i="17"/>
  <c r="BE16" i="17"/>
  <c r="E16" i="17" s="1"/>
  <c r="E24" i="43" l="1"/>
  <c r="D25" i="43" s="1"/>
  <c r="BE26" i="43"/>
  <c r="E26" i="43" s="1"/>
  <c r="J22" i="17"/>
  <c r="BC17" i="17"/>
  <c r="D27" i="43" l="1"/>
  <c r="B29" i="43"/>
  <c r="K22" i="17"/>
  <c r="BD17" i="17"/>
  <c r="L22" i="17" l="1"/>
  <c r="BE17" i="17"/>
  <c r="E17" i="17" s="1"/>
  <c r="M22" i="17" l="1"/>
  <c r="N22" i="17" l="1"/>
  <c r="O22" i="17" l="1"/>
  <c r="P22" i="17" l="1"/>
  <c r="Q22" i="17" l="1"/>
  <c r="R22" i="17" l="1"/>
  <c r="S22" i="17" l="1"/>
  <c r="T22" i="17" l="1"/>
  <c r="U22" i="17" l="1"/>
  <c r="V22" i="17" l="1"/>
  <c r="W22" i="17" l="1"/>
  <c r="X22" i="17" l="1"/>
  <c r="Y22" i="17" l="1"/>
  <c r="Z22" i="17" l="1"/>
  <c r="AA22" i="17" l="1"/>
  <c r="AB22" i="17" l="1"/>
  <c r="AC22" i="17" l="1"/>
  <c r="AD22" i="17" l="1"/>
  <c r="AE22" i="17" l="1"/>
  <c r="AF22" i="17" l="1"/>
  <c r="AG22" i="17" l="1"/>
  <c r="AH22" i="17" l="1"/>
  <c r="AI22" i="17" l="1"/>
  <c r="AJ22" i="17" l="1"/>
  <c r="AK22" i="17" l="1"/>
  <c r="AL22" i="17" l="1"/>
  <c r="AM22" i="17" l="1"/>
  <c r="AN22" i="17" l="1"/>
  <c r="AO22" i="17" l="1"/>
  <c r="AP22" i="17" l="1"/>
  <c r="AQ22" i="17" l="1"/>
  <c r="AR22" i="17" l="1"/>
  <c r="AS22" i="17" l="1"/>
  <c r="AT22" i="17" l="1"/>
  <c r="AU22" i="17" l="1"/>
  <c r="AV22" i="17" l="1"/>
  <c r="AW22" i="17" l="1"/>
  <c r="AX22" i="17" l="1"/>
  <c r="AY22" i="17" l="1"/>
  <c r="AZ22" i="17" l="1"/>
  <c r="BA22" i="17" l="1"/>
  <c r="BB22" i="17" l="1"/>
  <c r="BC22" i="17" l="1"/>
  <c r="BD22" i="17" l="1"/>
  <c r="BE22" i="17" l="1"/>
  <c r="E22" i="17" s="1"/>
  <c r="D23" i="17" l="1"/>
  <c r="B27" i="17" l="1"/>
</calcChain>
</file>

<file path=xl/sharedStrings.xml><?xml version="1.0" encoding="utf-8"?>
<sst xmlns="http://schemas.openxmlformats.org/spreadsheetml/2006/main" count="701" uniqueCount="460">
  <si>
    <t>Total</t>
  </si>
  <si>
    <t>Remuneración promedio del proyecto para mano de obra No calificada*</t>
  </si>
  <si>
    <t xml:space="preserve">Salario local promedio </t>
  </si>
  <si>
    <t>Diferencial salarial</t>
  </si>
  <si>
    <t xml:space="preserve">Mano de obra no calificada </t>
  </si>
  <si>
    <t xml:space="preserve">Valoración de la Generación de empleo </t>
  </si>
  <si>
    <t xml:space="preserve">Valoración de la Generación de empleo anual  </t>
  </si>
  <si>
    <t>No</t>
  </si>
  <si>
    <t>Estudios de referencia
Autor /año</t>
  </si>
  <si>
    <t>País</t>
  </si>
  <si>
    <t>Año</t>
  </si>
  <si>
    <t>DAP (media/hogar-mes)</t>
  </si>
  <si>
    <t>China</t>
  </si>
  <si>
    <t>Sri Lanka</t>
  </si>
  <si>
    <t>Corea</t>
  </si>
  <si>
    <t>Cantidad</t>
  </si>
  <si>
    <t>Tipo de mano de obra</t>
  </si>
  <si>
    <t>*Esta remuneración incluye el factor prestacional</t>
  </si>
  <si>
    <t>Mano de obra calificada</t>
  </si>
  <si>
    <t>Mano de obra no calififcada</t>
  </si>
  <si>
    <t>Remuneración promedio del proyecto para mano de obra  calificada*</t>
  </si>
  <si>
    <t>Valoración SE Regulación de gases - Sumidero de carbono</t>
  </si>
  <si>
    <t>Cobertura</t>
  </si>
  <si>
    <t>Biomasa total (Kg)</t>
  </si>
  <si>
    <t>Biomasa total (Ton)</t>
  </si>
  <si>
    <t>Carbono (Ton)</t>
  </si>
  <si>
    <t>Dióxido de carbono equivalente (CO2e) ó potencialmente transferido (T)</t>
  </si>
  <si>
    <t>Valor del CO2e US$</t>
  </si>
  <si>
    <t>Valor del CO2 $ (COP)</t>
  </si>
  <si>
    <t>Valor por ha</t>
  </si>
  <si>
    <t>Valores de referencia</t>
  </si>
  <si>
    <t>Valor</t>
  </si>
  <si>
    <t>Fuente</t>
  </si>
  <si>
    <t>Precio del carbono equivalente (US$/ton CO2)</t>
  </si>
  <si>
    <t>Impuesto nacional al carbono creado por medio de la Ley 1819 de 2016</t>
  </si>
  <si>
    <t xml:space="preserve">Tasa de cambio </t>
  </si>
  <si>
    <t>Precio del carbono equivalente ($/ton CO2)</t>
  </si>
  <si>
    <t>2020-07</t>
  </si>
  <si>
    <t>2020-06</t>
  </si>
  <si>
    <t>año/mes</t>
  </si>
  <si>
    <t>Valor promedio mes</t>
  </si>
  <si>
    <t>Promedio 6 meses</t>
  </si>
  <si>
    <t>Reportada por www.banrep.gov.co 
Promedio de mes de febrero a julio de 2020</t>
  </si>
  <si>
    <t>Valoración SE aprovisionamiento materias primas</t>
  </si>
  <si>
    <t>Volumen comercial (m3)</t>
  </si>
  <si>
    <t>Volumen total (m3)</t>
  </si>
  <si>
    <t>Producción potencial afectada($/ha)</t>
  </si>
  <si>
    <t>Precio de referencia para Madera Suave (2017) $/m3</t>
  </si>
  <si>
    <t>Reportado por Indexmundi (Madera suave Precio Mensual - Peso colombiano por Metro cúbico) En:https://www.indexmundi.com/es/precios-de-mercado/?mercancia=madera-suave&amp;meses=60&amp;moneda=cop</t>
  </si>
  <si>
    <t>Precio de referencia (30%)</t>
  </si>
  <si>
    <t>Actualización del Precio de referencia para madera Suave (2020)$/m3</t>
  </si>
  <si>
    <t>Precio de referencia *
($/m3)</t>
  </si>
  <si>
    <t xml:space="preserve">Año </t>
  </si>
  <si>
    <t>Costos de establecimiento promedio ($/ha)*</t>
  </si>
  <si>
    <t>Costos de mantenimiento promedio hasta año 5 ($/ha)**</t>
  </si>
  <si>
    <t>Área a restaurar (ha)***</t>
  </si>
  <si>
    <t>Costos totales por año para el área a restaurar ($/ha)</t>
  </si>
  <si>
    <t>*Corresponde al costo promedio de establecimiento por hectárea  para la zona nucleo eje cafetero y sur occidente. Resolución 357 de 2019</t>
  </si>
  <si>
    <t>**Corresponde al costo promedio de mantenimiento por hectárea hasta el año 5, para la zona nucleoeje cafetero y sur occidente. Resolución 357 de 2019</t>
  </si>
  <si>
    <t>Valores establecimiento CIF por hectárea</t>
  </si>
  <si>
    <t>Valores mantenimiento CIF por hectárea</t>
  </si>
  <si>
    <t>***Área a restaurar: área en aprovechamiento forestal coberturas arbóoreas</t>
  </si>
  <si>
    <t>Año 1</t>
  </si>
  <si>
    <t>Año 2</t>
  </si>
  <si>
    <t>Año 3</t>
  </si>
  <si>
    <t>Año 4</t>
  </si>
  <si>
    <t>Factor multiplicador del empleo *</t>
  </si>
  <si>
    <t xml:space="preserve">Empleos adicionales (no calificados)  por dinamización </t>
  </si>
  <si>
    <t>Inventario de Nutrientes</t>
  </si>
  <si>
    <t>Unidad cartográfica de suelo</t>
  </si>
  <si>
    <t>Área (ha)</t>
  </si>
  <si>
    <t>Densidad Aparente (g/cm3)</t>
  </si>
  <si>
    <t>Profundidad del suelo (cm)</t>
  </si>
  <si>
    <t>Peso suelo (Kg/ha)</t>
  </si>
  <si>
    <t>Nutiente</t>
  </si>
  <si>
    <t>Kg/Ha</t>
  </si>
  <si>
    <t>Valor Fertilizantes</t>
  </si>
  <si>
    <t>Fertilizante Triple 15  (Presentación bulto por 50kg)</t>
  </si>
  <si>
    <t>Nutriente</t>
  </si>
  <si>
    <t>Composición porcentual (%)</t>
  </si>
  <si>
    <t>Porcentaje de participación por nutriente</t>
  </si>
  <si>
    <t>Valor por nutriente ($/Kg)</t>
  </si>
  <si>
    <t>Nitrógeno</t>
  </si>
  <si>
    <t xml:space="preserve">Potasio </t>
  </si>
  <si>
    <t>Fósforo</t>
  </si>
  <si>
    <t>Agrofosmin (Presentación bulto por 46kg)</t>
  </si>
  <si>
    <t>Calcio</t>
  </si>
  <si>
    <t>Azufre</t>
  </si>
  <si>
    <t>Magnesio</t>
  </si>
  <si>
    <t>Boro</t>
  </si>
  <si>
    <t>Zinc</t>
  </si>
  <si>
    <t>Cobre</t>
  </si>
  <si>
    <t>Precio Agrofosmin
 (Presentación bulto por 46kg)</t>
  </si>
  <si>
    <t>Item</t>
  </si>
  <si>
    <t xml:space="preserve">Calcio Ca </t>
  </si>
  <si>
    <t xml:space="preserve">Magnesio Mg </t>
  </si>
  <si>
    <t>Potasio (K2O)</t>
  </si>
  <si>
    <t>Valor comercial ($/kg)</t>
  </si>
  <si>
    <t>Valor económico por hectárea</t>
  </si>
  <si>
    <t>Valor económico total por hectárea ($/has)</t>
  </si>
  <si>
    <t xml:space="preserve">Número de hectáreas a intervenir </t>
  </si>
  <si>
    <t>Valor económico total Pérdida de suelo ($)</t>
  </si>
  <si>
    <t>Tomado de:  Estudio General de Suelos y Zonificación de Tierras del Departamento de Antioquia” realizado por el IGAC en el año 2007</t>
  </si>
  <si>
    <t>Precio reportado por Tierragro.com - 2020</t>
  </si>
  <si>
    <t>Corresponde al 30% del valor para maderas suaves en consideración al tipo de individuos maderables de la zona</t>
  </si>
  <si>
    <t>Observación</t>
  </si>
  <si>
    <t>Generación de empleo</t>
  </si>
  <si>
    <t>Análisis Costo Beneficio Ambiental</t>
  </si>
  <si>
    <t>Unidad de medida</t>
  </si>
  <si>
    <t>Valor total 
Precios del año 2020</t>
  </si>
  <si>
    <t>VPN</t>
  </si>
  <si>
    <t>Beneficios ambientales/sociales</t>
  </si>
  <si>
    <t>Pesos/año</t>
  </si>
  <si>
    <t>Total beneficios ambientales</t>
  </si>
  <si>
    <t>VPN beneficios ambientales</t>
  </si>
  <si>
    <t>Costos ambientales/sociales</t>
  </si>
  <si>
    <t>Total costos ambientales</t>
  </si>
  <si>
    <t>VPN Costos ambientales</t>
  </si>
  <si>
    <t>Flujo de caja ambiental</t>
  </si>
  <si>
    <t>VPN flujo de caja ambiental</t>
  </si>
  <si>
    <t>Relación Beneficio/costo</t>
  </si>
  <si>
    <t>TIR</t>
  </si>
  <si>
    <t>Tasa de inflación de largo plazo BANREP</t>
  </si>
  <si>
    <t>Total Inventario físico de nutrientes (Kg/ha)</t>
  </si>
  <si>
    <t>IPC año corrido</t>
  </si>
  <si>
    <t>Proyección año</t>
  </si>
  <si>
    <t>IPC</t>
  </si>
  <si>
    <t>Promedio ultimos 10 años para proyecciones</t>
  </si>
  <si>
    <t>Largo plazo</t>
  </si>
  <si>
    <t>Tasa de descuento</t>
  </si>
  <si>
    <t>Cambio en las propiedades biológicas, físicas y químicas del suelo</t>
  </si>
  <si>
    <t>COMPLEJO LA PULGARINA - LP
Fase b
Perfil 31-04</t>
  </si>
  <si>
    <t>ASOCIACIÓN YARUMAL - YA
Fase e1
Perfil 32-04</t>
  </si>
  <si>
    <t>Calcio Ca  (cmol/kg)</t>
  </si>
  <si>
    <t>Magnesio Mg (cmol/kg)</t>
  </si>
  <si>
    <t>Potasio (K2O) (cmol/kg)</t>
  </si>
  <si>
    <t>Colombia</t>
  </si>
  <si>
    <t>Chile</t>
  </si>
  <si>
    <t>Alteración a las geoformas naturales del terreno y asociadas a la dinámica fluvial y variación en las propiedades visuales para las unidades del paisaje</t>
  </si>
  <si>
    <t>Promedio DAP año 2015</t>
  </si>
  <si>
    <t xml:space="preserve">DAP media hogar/mes PPA* método 1
</t>
  </si>
  <si>
    <t xml:space="preserve">DAP media hogar/mes PPA* método 2
</t>
  </si>
  <si>
    <t>Han, Kwak &amp; Yoo)</t>
  </si>
  <si>
    <t>Correa, Osorio &amp; Mendienta</t>
  </si>
  <si>
    <t>Gunawardena</t>
  </si>
  <si>
    <t>Ponce et al.</t>
  </si>
  <si>
    <t>Tao, Yan &amp; Zhan</t>
  </si>
  <si>
    <t>DAP Estudio AI hidroeléctrica Porvenir II</t>
  </si>
  <si>
    <t>Modelo 1</t>
  </si>
  <si>
    <t>Modelo 2</t>
  </si>
  <si>
    <t>Modelo 3</t>
  </si>
  <si>
    <t>DAP hogar/mes
año 2015</t>
  </si>
  <si>
    <t>DAP hogar/mes
año 2020</t>
  </si>
  <si>
    <t>*Actualizado según IPC (IPC 2011:76,19. IPC septiembre 2020:105,29) reportado por:  www.banrep.gov.co</t>
  </si>
  <si>
    <t>Promedio ajustado al año 2020*</t>
  </si>
  <si>
    <t xml:space="preserve">Número total de viviendas </t>
  </si>
  <si>
    <t>DAP (COP  2020/mes)</t>
  </si>
  <si>
    <t>DAP agregada COP 2020/año)</t>
  </si>
  <si>
    <t>DAP (COP  2020/año)</t>
  </si>
  <si>
    <t>Precio Triple 15 (Nutrimon)
 (Presentación bulto por 50kg)</t>
  </si>
  <si>
    <t>Valoración económica cambio de las propiedades propiedades biológicas, físicas y químicas del suelo por reposición de nutrientes.</t>
  </si>
  <si>
    <t>CAUDAL TOTAL REQUERIDO</t>
  </si>
  <si>
    <t>Tarifa unitaria anual por utilización del agua 
Resolución 1571 del 2017</t>
  </si>
  <si>
    <t xml:space="preserve">TUA ($/m3)
año 2017 </t>
  </si>
  <si>
    <t>TUA ($/m3)
año 2020</t>
  </si>
  <si>
    <t>IPC 2017</t>
  </si>
  <si>
    <t>Cambio en la disponibilidad del agua superficial</t>
  </si>
  <si>
    <t>IPC 2020 septiembre</t>
  </si>
  <si>
    <t>Tarifa anual - TU 
$/m3</t>
  </si>
  <si>
    <t>Factor de costo oportunidad
Fop</t>
  </si>
  <si>
    <t>Valor a pagar VP ($/año)</t>
  </si>
  <si>
    <t>Concesión de agua superficial</t>
  </si>
  <si>
    <t>Ecuación 8‑1. Cálculo del monto a pagar por utilización de agua</t>
  </si>
  <si>
    <t>Fuente: Decreto 1076 del 2015</t>
  </si>
  <si>
    <t>Caudal total requerido</t>
  </si>
  <si>
    <t>Caudal total requerido (m3/año)</t>
  </si>
  <si>
    <t>Volumen agua total requerido (m3/año)</t>
  </si>
  <si>
    <t>2020-10</t>
  </si>
  <si>
    <t>2020-09</t>
  </si>
  <si>
    <t>2020-08</t>
  </si>
  <si>
    <t>Área de intervención directa (ha)</t>
  </si>
  <si>
    <t>Valoración económica total del impacto Alteración de coberturas y/o flora terrestre</t>
  </si>
  <si>
    <t>Coberturas de bosque de galería y vegetación secundaria</t>
  </si>
  <si>
    <t>Costo total del área a restaurar (COP) año 2019</t>
  </si>
  <si>
    <t>Actualizado según IPC (IPC 2017:96,92. IPC septiembre 2020:105,29) reportado por:  www.banrep.gov.co</t>
  </si>
  <si>
    <t>Costo total del área a restaurar (COP) año 2020****</t>
  </si>
  <si>
    <t>****Actualizado según IPC (IPC 2017:96,92. IPC septiembre 2020:105,29) reportado por:  www.banrep.gov.co</t>
  </si>
  <si>
    <t>Etapa de construcción</t>
  </si>
  <si>
    <t>Valoración del empleo construcción</t>
  </si>
  <si>
    <t>Etapa de operación</t>
  </si>
  <si>
    <t>Valoración del empleo operación</t>
  </si>
  <si>
    <t>Autor /año</t>
  </si>
  <si>
    <t>Objetivo</t>
  </si>
  <si>
    <t>DAP 
$/mes
(moneda original estudio)</t>
  </si>
  <si>
    <t>Rodríguez, D.J., (2000). 
Brasil</t>
  </si>
  <si>
    <t>Estudio de la DAP por mejorar la calidad del agua del rio Tiete y sus tributarios que afectan las condiciones ambientales en la ciudad.</t>
  </si>
  <si>
    <t>Viven cerca BRL$3,71 y BRL$9,73/mes
(Real brasilero)</t>
  </si>
  <si>
    <t>Grajales, P.A., (2005). 
Colombia</t>
  </si>
  <si>
    <t>Expone el resultado de la valoración económica por medio del método contingente de la pérdida de bienestar de la población afectada por una disponibilidad de agua menos limpia y en menor cantidad, durante la construcción de la infraestructura vial del Proyecto Hidroeléctrico Porce.</t>
  </si>
  <si>
    <t>13.574,6 COL$ /mes/persona
(pesos colombianos)</t>
  </si>
  <si>
    <t>Moreno-Sánchez, R., &amp; et. Al., (2012). 
Colombia</t>
  </si>
  <si>
    <t xml:space="preserve">DAP de compradores del servicio ambiental de regulación hídrica para aumentar el valor de la cuota pagada a cambio de la consolidación y las acciones de mejora de la conservación aguas arriba. </t>
  </si>
  <si>
    <t>DAP promedio US$1,39 
0.90 más que el pago actual de 0,5. Casas de recreo US$2,11 Campesinos US$0.91.
(Dolares estadounidenses)</t>
  </si>
  <si>
    <t>Ortega-Pacheco, D.V., (2012). Costa Rica</t>
  </si>
  <si>
    <t>Implementación de un Pago por Servicios Ambientales - PSA para la protección de la cuenca, por la expansión de la ciudad y sus necesidades, con el fin de mejorar la calidad del agua.</t>
  </si>
  <si>
    <t xml:space="preserve"> 2300 CRC$/casa/mes.
(Colón costarricense)</t>
  </si>
  <si>
    <t>Nombre del estudio</t>
  </si>
  <si>
    <t>Autor, año, país</t>
  </si>
  <si>
    <t>DAP año original
COL$ /mes/persona</t>
  </si>
  <si>
    <t>DAP año 2020</t>
  </si>
  <si>
    <t>Valoración contingente del impacto ambiental de la construcción de la infraestructura vial del proyecto hidroeléctrico Porce III</t>
  </si>
  <si>
    <t>Datos de referencia inflación</t>
  </si>
  <si>
    <t>2005 diciembre</t>
  </si>
  <si>
    <t xml:space="preserve">Habitantes área de influencia </t>
  </si>
  <si>
    <t>Valor (DAP/$col) 2020 (persona/mes)</t>
  </si>
  <si>
    <t>DAP agregada mes</t>
  </si>
  <si>
    <t>DAP agregada año</t>
  </si>
  <si>
    <t>*Datos tomados de: https://www.imf.org/external/pubs/ft/weo/2018/02/weodata/weoselco.aspx?g=2001&amp;sg=All+countries</t>
  </si>
  <si>
    <t>Alteración hábitats acuáticos</t>
  </si>
  <si>
    <t>2020 septiembre</t>
  </si>
  <si>
    <t>Estudio Relevante Para El Caso</t>
  </si>
  <si>
    <t>Ubicación del Estudio a Transferir</t>
  </si>
  <si>
    <t>Servicio Ecosistémico del Estudio A Transferir</t>
  </si>
  <si>
    <t>Valor Determinado Por el Estudio</t>
  </si>
  <si>
    <t>Año Del Estudio</t>
  </si>
  <si>
    <t>DAP Estudio (USD/año)</t>
  </si>
  <si>
    <t>IPC USA
2020</t>
  </si>
  <si>
    <t>IPC USA
año del estudio</t>
  </si>
  <si>
    <t>PIB percápita USA 2020</t>
  </si>
  <si>
    <t xml:space="preserve">PIB percápita Colombia 2020 </t>
  </si>
  <si>
    <t>DAP 
(USD 2020/año)</t>
  </si>
  <si>
    <t>DAP 
(COP  2020/año)</t>
  </si>
  <si>
    <t xml:space="preserve">Valor  </t>
  </si>
  <si>
    <t>Unidad</t>
  </si>
  <si>
    <t>Keeping the Amazon forests standing: a matter of values. Report for WWF Netherlands</t>
  </si>
  <si>
    <t>Brasil</t>
  </si>
  <si>
    <t>Protección de la biodiversidad</t>
  </si>
  <si>
    <t>USD/ha/yr</t>
  </si>
  <si>
    <t>Selling two environmental services: In-kind payments for bird habitat and watershed protection in Los Negros, Bolivia. Ecological Economics</t>
  </si>
  <si>
    <t>Bolivia</t>
  </si>
  <si>
    <t>Evaluating non-users willingness to pay for a large scale conservation programme in Amazonia. Environmental Conservation 30(2): 139-146.</t>
  </si>
  <si>
    <t>PROMEDIO</t>
  </si>
  <si>
    <t>Tasa de cambio (USD/COP)
Promedio de enero a junio de 2020</t>
  </si>
  <si>
    <t>Valor promedio COP/ha/año</t>
  </si>
  <si>
    <t>Tasa de cambio* $/US</t>
  </si>
  <si>
    <t>*Tasa de cambio promedio de 6 meses (mayo a octubre de 2020)</t>
  </si>
  <si>
    <t>Reportada por www.banrep.gov.co promedio de mayo a septiembre de 2020</t>
  </si>
  <si>
    <t>Área de influencia biótica ha</t>
  </si>
  <si>
    <t>Afectación a los hábitats y/o corredores biológicos acuáticos</t>
  </si>
  <si>
    <t>Valor económico de la afectación a los hábitats y/o corredores biológicos acuáticos</t>
  </si>
  <si>
    <t>Generación de empleo- construcción</t>
  </si>
  <si>
    <t>Generación de empleo- operación</t>
  </si>
  <si>
    <t>Operación (año)</t>
  </si>
  <si>
    <t>Construcción (año)</t>
  </si>
  <si>
    <r>
      <t>Generación de energía m</t>
    </r>
    <r>
      <rPr>
        <vertAlign val="superscript"/>
        <sz val="11"/>
        <color rgb="FF000000"/>
        <rFont val="Arial"/>
        <family val="2"/>
      </rPr>
      <t>3</t>
    </r>
    <r>
      <rPr>
        <sz val="11"/>
        <color rgb="FF000000"/>
        <rFont val="Arial"/>
        <family val="2"/>
      </rPr>
      <t>/s</t>
    </r>
  </si>
  <si>
    <r>
      <t>Red contra incendios m</t>
    </r>
    <r>
      <rPr>
        <vertAlign val="superscript"/>
        <sz val="11"/>
        <color rgb="FF000000"/>
        <rFont val="Arial"/>
        <family val="2"/>
      </rPr>
      <t>3</t>
    </r>
    <r>
      <rPr>
        <sz val="11"/>
        <color rgb="FF000000"/>
        <rFont val="Arial"/>
        <family val="2"/>
      </rPr>
      <t>/s</t>
    </r>
  </si>
  <si>
    <r>
      <t>Sistema aire acondicionado m</t>
    </r>
    <r>
      <rPr>
        <vertAlign val="superscript"/>
        <sz val="11"/>
        <color rgb="FF000000"/>
        <rFont val="Arial"/>
        <family val="2"/>
      </rPr>
      <t>3</t>
    </r>
    <r>
      <rPr>
        <sz val="11"/>
        <color rgb="FF000000"/>
        <rFont val="Arial"/>
        <family val="2"/>
      </rPr>
      <t>/s</t>
    </r>
  </si>
  <si>
    <r>
      <t>Casa de máquinas m</t>
    </r>
    <r>
      <rPr>
        <vertAlign val="superscript"/>
        <sz val="11"/>
        <color rgb="FF000000"/>
        <rFont val="Arial"/>
        <family val="2"/>
      </rPr>
      <t>3</t>
    </r>
    <r>
      <rPr>
        <sz val="11"/>
        <color rgb="FF000000"/>
        <rFont val="Arial"/>
        <family val="2"/>
      </rPr>
      <t>/s</t>
    </r>
  </si>
  <si>
    <r>
      <t>Zona de captación: m</t>
    </r>
    <r>
      <rPr>
        <vertAlign val="superscript"/>
        <sz val="11"/>
        <color rgb="FF000000"/>
        <rFont val="Arial"/>
        <family val="2"/>
      </rPr>
      <t>3</t>
    </r>
    <r>
      <rPr>
        <sz val="11"/>
        <color rgb="FF000000"/>
        <rFont val="Arial"/>
        <family val="2"/>
      </rPr>
      <t>/s</t>
    </r>
  </si>
  <si>
    <r>
      <t>Total requerido m</t>
    </r>
    <r>
      <rPr>
        <vertAlign val="superscript"/>
        <sz val="11"/>
        <color rgb="FF000000"/>
        <rFont val="Arial"/>
        <family val="2"/>
      </rPr>
      <t>3</t>
    </r>
    <r>
      <rPr>
        <sz val="11"/>
        <color rgb="FF000000"/>
        <rFont val="Arial"/>
        <family val="2"/>
      </rPr>
      <t>/s</t>
    </r>
  </si>
  <si>
    <r>
      <t>Total requerido m</t>
    </r>
    <r>
      <rPr>
        <vertAlign val="superscript"/>
        <sz val="11"/>
        <color rgb="FF000000"/>
        <rFont val="Arial"/>
        <family val="2"/>
      </rPr>
      <t>3</t>
    </r>
    <r>
      <rPr>
        <sz val="11"/>
        <color rgb="FF000000"/>
        <rFont val="Arial"/>
        <family val="2"/>
      </rPr>
      <t>/mes</t>
    </r>
  </si>
  <si>
    <t>*Actualizado según IPC (IPC 2017:96,92. IPC septiembre 2020:105,29) reportado por:  www.banrep.gov.co</t>
  </si>
  <si>
    <t xml:space="preserve">Alteración en la dinámica fluvial </t>
  </si>
  <si>
    <t>Alteración de las comunidades hidrobiológicas</t>
  </si>
  <si>
    <t>Población económicamente activa del área de influencia</t>
  </si>
  <si>
    <t>Condición</t>
  </si>
  <si>
    <t>ENERO</t>
  </si>
  <si>
    <t>FEBRERO</t>
  </si>
  <si>
    <t>MARZO</t>
  </si>
  <si>
    <t>ABRIL</t>
  </si>
  <si>
    <t>MAYO</t>
  </si>
  <si>
    <t>JUNIO</t>
  </si>
  <si>
    <t>JULIO</t>
  </si>
  <si>
    <t>AGOSTO</t>
  </si>
  <si>
    <t>SEPTIEMBRE</t>
  </si>
  <si>
    <t>OCTUBRE</t>
  </si>
  <si>
    <t>NOVIEMBRE</t>
  </si>
  <si>
    <t>DICIEMBRE</t>
  </si>
  <si>
    <t>ANUAL</t>
  </si>
  <si>
    <t>Generación média multianual en GWh/año</t>
  </si>
  <si>
    <t>2020-11</t>
  </si>
  <si>
    <t>3680, 67</t>
  </si>
  <si>
    <t>Costo del permiso de ocupaciòn de cauce</t>
  </si>
  <si>
    <t>Salario Mìnimo Mensual Vigente - SMMV ($)</t>
  </si>
  <si>
    <t>Nùmero de SMMV</t>
  </si>
  <si>
    <t>Valor superior a ocho mil cuatrocientos cincuenta y ocho (8.458) salarios mínimos mensuales vigentes*</t>
  </si>
  <si>
    <t>*  Ley 633 de 2000 (Artículo 96)</t>
  </si>
  <si>
    <t>Alteración de la dinámica fluvial</t>
  </si>
  <si>
    <t>Costo del proyecto - obra civil ($)</t>
  </si>
  <si>
    <t>Item operación</t>
  </si>
  <si>
    <t>Mano de obra no Calificada operación</t>
  </si>
  <si>
    <t>Dinamización de la economía a partir de la etapa de operación</t>
  </si>
  <si>
    <t>Valoración del empleo en operación por dinamización</t>
  </si>
  <si>
    <t xml:space="preserve">Valoración total del empleo en operación </t>
  </si>
  <si>
    <t>Valor estadistico de la vida
2011</t>
  </si>
  <si>
    <t>Valor estadistico de la vida
2020</t>
  </si>
  <si>
    <t>Accidentes por año</t>
  </si>
  <si>
    <t>Valor de  por año</t>
  </si>
  <si>
    <t>Municipio</t>
  </si>
  <si>
    <t>Fuente: MÁRQUEZ, L. Metodología para valorar los costos externos de la accidentalidad en proyectos de transporte. Ing. Univ. Bogotá (Colombia), 14 (1): 161-176, enero-junio de 2010. ISSN 0123-2126.</t>
  </si>
  <si>
    <t>Actualizado a pesos del 2020 (IPC 2011:76,75. IPC enero de 2020:105,29) reportado por www.banrep.gov.co</t>
  </si>
  <si>
    <t>Cocorná</t>
  </si>
  <si>
    <t>Tasa de muertes por Accidentes de tránsito 2016  x  cienmil hbtes.</t>
  </si>
  <si>
    <t xml:space="preserve">Número de habitantes Vereda La Placeta </t>
  </si>
  <si>
    <t>Número de accidentes</t>
  </si>
  <si>
    <t xml:space="preserve">Reducción del riesgo de accidentalidad </t>
  </si>
  <si>
    <t>Adicionalidad  por reducción en la accidentalidad</t>
  </si>
  <si>
    <t>Valoración reducción de emisiones de gases de efecto invernadero</t>
  </si>
  <si>
    <t>Energía anual neta esperada MWh</t>
  </si>
  <si>
    <t>Factor de emision de GEI (tCO2/MWh)*</t>
  </si>
  <si>
    <t>Reducción de emisiones tCO2</t>
  </si>
  <si>
    <t>Producto entre el precio del carbono equivalente y la tasa de cambio</t>
  </si>
  <si>
    <t>Promedio de los últimos sesis meses (junio a noviembre de 2020) www.banrep.gov.co</t>
  </si>
  <si>
    <t>*Resolución 843 de 2016.por la cual se actualiza el factor marginal de emisión de gases de efecto invernadero del Sistema Interconectado Nacional para proyectos aplicables al Mecanismo de Desarrollo Limpio (MDL)</t>
  </si>
  <si>
    <t>Beneficio de reducción de emisiones GEI</t>
  </si>
  <si>
    <t>* Departamento Nacional de Planeación – DNP. Actualización de la tasa de rendimiento del capital en Colombia bajo la metodología de Harberger.  Documento 487 Dirección de Estudios Económicos del 8 de agosto de 2018.</t>
  </si>
  <si>
    <t>Valoración económica ambiental de servicios recreativos del lago termas de Río Hondo, Santiago del Estero. método de valoración contingente versus costo del viaje</t>
  </si>
  <si>
    <t>Argentina</t>
  </si>
  <si>
    <t>Cultural: Recreación</t>
  </si>
  <si>
    <t>a</t>
  </si>
  <si>
    <t>Valoración económica de la actividad recreativa en el río Colorado</t>
  </si>
  <si>
    <t>b</t>
  </si>
  <si>
    <t>México</t>
  </si>
  <si>
    <t>Valoración económica del uso recreativo del Parque Ronda del Sinú, en Montería, Colombia</t>
  </si>
  <si>
    <t>c.</t>
  </si>
  <si>
    <t>Valoración económica de impactos mbientales de los proyectos de generación de hidroelectricidad: el caso del Salto del Buey, Colombia</t>
  </si>
  <si>
    <t xml:space="preserve">d. </t>
  </si>
  <si>
    <t>pesos argentinos /persona/día</t>
  </si>
  <si>
    <t>pesos mexicanos /persona/anual</t>
  </si>
  <si>
    <t>pesos colombianos /ususario/mes</t>
  </si>
  <si>
    <t xml:space="preserve">pesos colombianos /hogar/mes </t>
  </si>
  <si>
    <t>DAP agregada (COP 2020/año)</t>
  </si>
  <si>
    <t>DAP (COP  2010/mes)</t>
  </si>
  <si>
    <t>*Actualizado según IPC (IPC 2010:73,45. IPC septiembre 2020:105,29) reportado por:  www.banrep.gov.co</t>
  </si>
  <si>
    <t>DAP* 
COP  2020/mes</t>
  </si>
  <si>
    <t>DAP 
COP  2020/año</t>
  </si>
  <si>
    <t>Alteración de actividades de aprovechamiento recreativo del río Cocorná</t>
  </si>
  <si>
    <t>Ingeniero residente por frente</t>
  </si>
  <si>
    <t>Director</t>
  </si>
  <si>
    <t>Administrativos</t>
  </si>
  <si>
    <t>SISO</t>
  </si>
  <si>
    <t>Tecnólogos por frentes</t>
  </si>
  <si>
    <t>Interventoría</t>
  </si>
  <si>
    <t>Ingeniero Mecánico</t>
  </si>
  <si>
    <t>Ingeniero Ambiental</t>
  </si>
  <si>
    <t>Ingeniero Eléctrico</t>
  </si>
  <si>
    <t xml:space="preserve">Profesional Social </t>
  </si>
  <si>
    <t>Otros profesionales</t>
  </si>
  <si>
    <t>Mano de obra no calificada</t>
  </si>
  <si>
    <t>Personal construcción</t>
  </si>
  <si>
    <t>Remuneración promedio del proyecto para mano de obra semi calificada*</t>
  </si>
  <si>
    <t>Mano de obra semi calififcada</t>
  </si>
  <si>
    <t xml:space="preserve">Personal </t>
  </si>
  <si>
    <t>Operación de la central</t>
  </si>
  <si>
    <t>Operación captación</t>
  </si>
  <si>
    <t>Administración general</t>
  </si>
  <si>
    <t>Mantenimiento general</t>
  </si>
  <si>
    <t>Seguridad</t>
  </si>
  <si>
    <t>CONSTRUCCIÓN</t>
  </si>
  <si>
    <t>OPERACIÓN</t>
  </si>
  <si>
    <t>Mano de obra semi-calificada operación</t>
  </si>
  <si>
    <t>Total empleos generados por dinamización de la economía</t>
  </si>
  <si>
    <t>Valoración beneficio $</t>
  </si>
  <si>
    <t>*Actualizado según IPC (IPC 2005:58,7. IPC septiembre 2020:105,29) reportado por:  www.banrep.gov.co</t>
  </si>
  <si>
    <t>Pesos</t>
  </si>
  <si>
    <t>Costo de permiso de ocupaciòn de cauce</t>
  </si>
  <si>
    <t>TSD</t>
  </si>
  <si>
    <t>RBC</t>
  </si>
  <si>
    <t>ZONA DE CAPTACIÓN</t>
  </si>
  <si>
    <t xml:space="preserve">Desvío de río </t>
  </si>
  <si>
    <t>Acero (kg)</t>
  </si>
  <si>
    <t>CONDUCCIÓN A PRESIÓN</t>
  </si>
  <si>
    <t>Puenteducto (ml)</t>
  </si>
  <si>
    <t>VÍAS</t>
  </si>
  <si>
    <t>CANAL DE DESCARGA</t>
  </si>
  <si>
    <t>Total impacto Alteración de coberturas y/o flora terrestre</t>
  </si>
  <si>
    <t xml:space="preserve">Alteración de coberturas vegetales y de las comunidades de flora </t>
  </si>
  <si>
    <t xml:space="preserve">Alteración de la conectividad ecológica </t>
  </si>
  <si>
    <t>Modififcación del hábitat de la fauna terrestre</t>
  </si>
  <si>
    <t>Tasa de descuento DNP 12%</t>
  </si>
  <si>
    <t xml:space="preserve">Modificación del hábitat de la fauna terrestre </t>
  </si>
  <si>
    <t>Valor total 
Precios del año 2021*</t>
  </si>
  <si>
    <t>* Valores se actualizan a partir de la Tasa de inflación del año 2020=1,61% Según www.banrep.gov.co</t>
  </si>
  <si>
    <t>*Actualizado según IPC (IPC abril 2021:107,16. IPC diciembre 2020:105,48) reportado por:  www.banrep.gov.co</t>
  </si>
  <si>
    <t>**</t>
  </si>
  <si>
    <t>Adicionalidad del proyecto</t>
  </si>
  <si>
    <t>Ítems</t>
  </si>
  <si>
    <t>Precio unitario ($)</t>
  </si>
  <si>
    <t>Precio total ($)</t>
  </si>
  <si>
    <r>
      <t>Llenos - Ataguía, contrataguía – (m</t>
    </r>
    <r>
      <rPr>
        <vertAlign val="superscript"/>
        <sz val="9"/>
        <color rgb="FF000000"/>
        <rFont val="Arial"/>
        <family val="2"/>
      </rPr>
      <t>3</t>
    </r>
    <r>
      <rPr>
        <sz val="9"/>
        <color rgb="FF000000"/>
        <rFont val="Arial"/>
        <family val="2"/>
      </rPr>
      <t>)</t>
    </r>
  </si>
  <si>
    <t>7 200</t>
  </si>
  <si>
    <t>30 000</t>
  </si>
  <si>
    <t>500 000 000</t>
  </si>
  <si>
    <r>
      <t>Descapote (m</t>
    </r>
    <r>
      <rPr>
        <vertAlign val="superscript"/>
        <sz val="9"/>
        <color rgb="FF000000"/>
        <rFont val="Arial"/>
        <family val="2"/>
      </rPr>
      <t>3</t>
    </r>
    <r>
      <rPr>
        <sz val="9"/>
        <color rgb="FF000000"/>
        <rFont val="Arial"/>
        <family val="2"/>
      </rPr>
      <t>)</t>
    </r>
  </si>
  <si>
    <t>4 688</t>
  </si>
  <si>
    <t>8 000</t>
  </si>
  <si>
    <r>
      <t>Excavación Roca (m</t>
    </r>
    <r>
      <rPr>
        <vertAlign val="superscript"/>
        <sz val="9"/>
        <color rgb="FF000000"/>
        <rFont val="Arial"/>
        <family val="2"/>
      </rPr>
      <t>3</t>
    </r>
    <r>
      <rPr>
        <sz val="9"/>
        <color rgb="FF000000"/>
        <rFont val="Arial"/>
        <family val="2"/>
      </rPr>
      <t>)</t>
    </r>
  </si>
  <si>
    <t>1 551</t>
  </si>
  <si>
    <t>80 000</t>
  </si>
  <si>
    <r>
      <t>Excavación Común (m</t>
    </r>
    <r>
      <rPr>
        <vertAlign val="superscript"/>
        <sz val="9"/>
        <color rgb="FF000000"/>
        <rFont val="Arial"/>
        <family val="2"/>
      </rPr>
      <t>3</t>
    </r>
    <r>
      <rPr>
        <sz val="9"/>
        <color rgb="FF000000"/>
        <rFont val="Arial"/>
        <family val="2"/>
      </rPr>
      <t>)</t>
    </r>
  </si>
  <si>
    <t>1 550</t>
  </si>
  <si>
    <t>20 000</t>
  </si>
  <si>
    <t>Lleno en concreto ciclópeo</t>
  </si>
  <si>
    <t>450 000</t>
  </si>
  <si>
    <r>
      <t>Concreto (m</t>
    </r>
    <r>
      <rPr>
        <vertAlign val="superscript"/>
        <sz val="9"/>
        <color rgb="FF000000"/>
        <rFont val="Arial"/>
        <family val="2"/>
      </rPr>
      <t>3</t>
    </r>
    <r>
      <rPr>
        <sz val="9"/>
        <color rgb="FF000000"/>
        <rFont val="Arial"/>
        <family val="2"/>
      </rPr>
      <t>)</t>
    </r>
  </si>
  <si>
    <t>4 184</t>
  </si>
  <si>
    <t>1 100 000</t>
  </si>
  <si>
    <t>627 600</t>
  </si>
  <si>
    <t>5 000</t>
  </si>
  <si>
    <t>Concreto empotramiento de tubería (m³)</t>
  </si>
  <si>
    <t>3 000 000</t>
  </si>
  <si>
    <t>Puente zona escolar (m²)</t>
  </si>
  <si>
    <t>4 500 000</t>
  </si>
  <si>
    <t>Puente casa de máquinas (m²)</t>
  </si>
  <si>
    <t>12 000 000</t>
  </si>
  <si>
    <t>Puente vía existente casa de máquinas (m²)</t>
  </si>
  <si>
    <t>Concreto boxculvert y cabezotes (m³)</t>
  </si>
  <si>
    <t>Acero para boxculvert y cabezotes (kg)</t>
  </si>
  <si>
    <t>7 500</t>
  </si>
  <si>
    <t>Tuberías alcantarillas (unidad)</t>
  </si>
  <si>
    <t>2 500 000</t>
  </si>
  <si>
    <t>75 000</t>
  </si>
  <si>
    <t>Presupuesto Total</t>
  </si>
  <si>
    <t>Descripción</t>
  </si>
  <si>
    <t>Valor total ($)</t>
  </si>
  <si>
    <t>Valor por Ha ($)</t>
  </si>
  <si>
    <t xml:space="preserve">Establecimiento </t>
  </si>
  <si>
    <t>Mantenimiento</t>
  </si>
  <si>
    <t>Cercado</t>
  </si>
  <si>
    <t>Monitoreo</t>
  </si>
  <si>
    <t>Talleres socialización</t>
  </si>
  <si>
    <t>Costo total programa sin IVA</t>
  </si>
  <si>
    <t>Monitoreo de siembras</t>
  </si>
  <si>
    <t>Mantenimientos</t>
  </si>
  <si>
    <t>Establecimiento de parcelas</t>
  </si>
  <si>
    <t>Monitoreo de parcelas</t>
  </si>
  <si>
    <t>Construcción</t>
  </si>
  <si>
    <t>Operación</t>
  </si>
  <si>
    <t>Costos totales plan de compensación</t>
  </si>
  <si>
    <t>Etapa del proyecto</t>
  </si>
  <si>
    <t>Cronograma detallado del proyecto</t>
  </si>
  <si>
    <t>Valor para el área de compensación adicional</t>
  </si>
  <si>
    <t>Frecuencia</t>
  </si>
  <si>
    <t>Valor total anual para el área adicional</t>
  </si>
  <si>
    <t>Área adicional a compensar - costo actividades de establecimiento</t>
  </si>
  <si>
    <t>Biomasa total (ton)</t>
  </si>
  <si>
    <t>Área de intervención directa 
(ha)</t>
  </si>
  <si>
    <t>a) costos de las actividades</t>
  </si>
  <si>
    <t>b) Regulación del clima (absorción y almacenamiento de Carbono)</t>
  </si>
  <si>
    <t>Área adicional a compensar - Regulación del clima</t>
  </si>
  <si>
    <t>Biomasa *
(ton/ha)</t>
  </si>
  <si>
    <t>* *Se toma como referencia la biomasa (ton/ha) calculada del inventario del área de intervención.</t>
  </si>
  <si>
    <t>**Este valor no se actualiza debido a que fue tomado del presupuesto consolidado realizado en enero de 2021</t>
  </si>
  <si>
    <t>***</t>
  </si>
  <si>
    <t>*** El beneficio del área adicional a compensar  se calculaa precios de 2021</t>
  </si>
  <si>
    <t>Tasa de descuento 0% 5% 10% 15%</t>
  </si>
  <si>
    <t>Área a compensar - costo actividades de establecimiento</t>
  </si>
  <si>
    <t>Área para el plan de compensación por perdida de biodiversidad</t>
  </si>
  <si>
    <t xml:space="preserve">Adicionalidad por área a compensar </t>
  </si>
  <si>
    <t xml:space="preserve">Valor predios comprados para el plan de compensación por perdida de biodiversidad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</si>
</sst>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1" formatCode="_-* #,##0_-;\-* #,##0_-;_-* &quot;-&quot;_-;_-@_-"/>
    <numFmt numFmtId="43" formatCode="_-* #,##0.00_-;\-* #,##0.00_-;_-* &quot;-&quot;??_-;_-@_-"/>
    <numFmt numFmtId="164" formatCode="&quot;$&quot;#,##0;[Red]\-&quot;$&quot;#,##0"/>
    <numFmt numFmtId="165" formatCode="_-&quot;$&quot;* #,##0.00_-;\-&quot;$&quot;* #,##0.00_-;_-&quot;$&quot;* &quot;-&quot;??_-;_-@_-"/>
    <numFmt numFmtId="166" formatCode="_-* #,##0.00_-;\-* #,##0.00_-;_-* &quot;-&quot;_-;_-@_-"/>
    <numFmt numFmtId="167" formatCode="_-* #,##0.0_-;\-* #,##0.0_-;_-* &quot;-&quot;_-;_-@_-"/>
    <numFmt numFmtId="168" formatCode="0.000"/>
    <numFmt numFmtId="169" formatCode="&quot;$&quot;#,##0"/>
    <numFmt numFmtId="170" formatCode="_(* #,##0.00_);_(* \(#,##0.00\);_(* &quot;-&quot;??_);_(@_)"/>
    <numFmt numFmtId="171" formatCode="_-* #,##0_-;\-* #,##0_-;_-* &quot;-&quot;??_-;_-@_-"/>
    <numFmt numFmtId="172" formatCode="_-&quot;$&quot;* #,##0_-;\-&quot;$&quot;* #,##0_-;_-&quot;$&quot;* &quot;-&quot;??_-;_-@_-"/>
    <numFmt numFmtId="173" formatCode="#,##0.00_ ;\-#,##0.00\ "/>
    <numFmt numFmtId="174" formatCode="&quot;$&quot;\ #,##0_);[Red]\(&quot;$&quot;\ #,##0\)"/>
    <numFmt numFmtId="175" formatCode="0.0"/>
    <numFmt numFmtId="176" formatCode="&quot;$&quot;#,##0.00"/>
    <numFmt numFmtId="177" formatCode="#,##0.000"/>
    <numFmt numFmtId="178" formatCode="_-* #,##0.000_-;\-* #,##0.000_-;_-* &quot;-&quot;??_-;_-@_-"/>
    <numFmt numFmtId="180" formatCode="_-* #,##0_-;\-* #,##0_-;_-* &quot;-&quot;_-;_-@_-"/>
    <numFmt numFmtId="181" formatCode="_-* #,##0.00_-;\-* #,##0.00_-;_-* &quot;-&quot;??_-;_-@_-"/>
  </numFmts>
  <fonts count="48" x14ac:knownFonts="1">
    <font>
      <sz val="11"/>
      <color theme="1"/>
      <name val="Calibri"/>
      <family val="2"/>
      <scheme val="minor"/>
    </font>
    <font>
      <sz val="11"/>
      <color theme="1"/>
      <name val="Calibri"/>
      <family val="2"/>
      <scheme val="minor"/>
    </font>
    <font>
      <b/>
      <sz val="10"/>
      <name val="Arial"/>
      <family val="2"/>
    </font>
    <font>
      <sz val="10"/>
      <name val="Arial"/>
      <family val="2"/>
    </font>
    <font>
      <sz val="12"/>
      <color theme="1"/>
      <name val="Calibri"/>
      <family val="2"/>
      <scheme val="minor"/>
    </font>
    <font>
      <b/>
      <sz val="10"/>
      <color theme="1"/>
      <name val="Arial"/>
      <family val="2"/>
    </font>
    <font>
      <sz val="10"/>
      <color theme="1"/>
      <name val="Arial"/>
      <family val="2"/>
    </font>
    <font>
      <b/>
      <sz val="10"/>
      <color rgb="FFFF0000"/>
      <name val="Arial"/>
      <family val="2"/>
    </font>
    <font>
      <sz val="10"/>
      <color rgb="FFFF0000"/>
      <name val="Arial"/>
      <family val="2"/>
    </font>
    <font>
      <b/>
      <sz val="10"/>
      <color rgb="FF000000"/>
      <name val="Arial"/>
      <family val="2"/>
    </font>
    <font>
      <sz val="10"/>
      <color rgb="FF000000"/>
      <name val="Arial"/>
      <family val="2"/>
    </font>
    <font>
      <sz val="11"/>
      <color theme="1"/>
      <name val="Arial"/>
      <family val="2"/>
    </font>
    <font>
      <b/>
      <sz val="11"/>
      <color theme="1"/>
      <name val="Arial"/>
      <family val="2"/>
    </font>
    <font>
      <b/>
      <sz val="11"/>
      <color rgb="FF000000"/>
      <name val="Arial"/>
      <family val="2"/>
    </font>
    <font>
      <sz val="11"/>
      <name val="Arial"/>
      <family val="2"/>
    </font>
    <font>
      <sz val="11"/>
      <color rgb="FF000000"/>
      <name val="Arial"/>
      <family val="2"/>
    </font>
    <font>
      <b/>
      <sz val="11"/>
      <name val="Arial"/>
      <family val="2"/>
    </font>
    <font>
      <b/>
      <sz val="11"/>
      <color theme="1"/>
      <name val="Calibri"/>
      <family val="2"/>
      <scheme val="minor"/>
    </font>
    <font>
      <sz val="11"/>
      <color rgb="FFFF0000"/>
      <name val="Arial"/>
      <family val="2"/>
    </font>
    <font>
      <b/>
      <sz val="12"/>
      <name val="Arial"/>
      <family val="2"/>
    </font>
    <font>
      <i/>
      <sz val="11"/>
      <name val="Arial"/>
      <family val="2"/>
    </font>
    <font>
      <b/>
      <sz val="12"/>
      <color theme="1"/>
      <name val="Arial"/>
      <family val="2"/>
    </font>
    <font>
      <sz val="11"/>
      <name val="Calibri"/>
      <family val="2"/>
      <scheme val="minor"/>
    </font>
    <font>
      <sz val="9"/>
      <name val="Arial"/>
      <family val="2"/>
    </font>
    <font>
      <sz val="9"/>
      <color rgb="FFFF0000"/>
      <name val="Arial"/>
      <family val="2"/>
    </font>
    <font>
      <sz val="9"/>
      <color theme="1"/>
      <name val="Arial"/>
      <family val="2"/>
    </font>
    <font>
      <b/>
      <sz val="9"/>
      <color theme="1"/>
      <name val="Arial"/>
      <family val="2"/>
    </font>
    <font>
      <sz val="11"/>
      <color theme="1"/>
      <name val="Rockwell"/>
      <family val="1"/>
    </font>
    <font>
      <b/>
      <sz val="11"/>
      <color rgb="FFFF0000"/>
      <name val="Arial"/>
      <family val="2"/>
    </font>
    <font>
      <sz val="11"/>
      <color rgb="FF000000"/>
      <name val="Calibri"/>
      <family val="2"/>
    </font>
    <font>
      <u/>
      <sz val="11"/>
      <color theme="10"/>
      <name val="Calibri"/>
      <family val="2"/>
      <scheme val="minor"/>
    </font>
    <font>
      <sz val="11"/>
      <color rgb="FF000000"/>
      <name val="Calibri"/>
      <family val="2"/>
    </font>
    <font>
      <vertAlign val="superscript"/>
      <sz val="11"/>
      <color rgb="FF000000"/>
      <name val="Arial"/>
      <family val="2"/>
    </font>
    <font>
      <b/>
      <sz val="11"/>
      <color theme="5" tint="-0.249977111117893"/>
      <name val="Arial"/>
      <family val="2"/>
    </font>
    <font>
      <i/>
      <u/>
      <sz val="11"/>
      <name val="Arial"/>
      <family val="2"/>
    </font>
    <font>
      <sz val="10"/>
      <color theme="1"/>
      <name val="Calibri"/>
      <family val="2"/>
      <scheme val="minor"/>
    </font>
    <font>
      <b/>
      <sz val="10"/>
      <color theme="1"/>
      <name val="Calibri"/>
      <family val="2"/>
      <scheme val="minor"/>
    </font>
    <font>
      <b/>
      <sz val="12"/>
      <color theme="1"/>
      <name val="Calibri"/>
      <family val="2"/>
      <scheme val="minor"/>
    </font>
    <font>
      <i/>
      <sz val="10"/>
      <color theme="1"/>
      <name val="Arial"/>
      <family val="2"/>
    </font>
    <font>
      <i/>
      <sz val="10"/>
      <name val="Arial"/>
      <family val="2"/>
    </font>
    <font>
      <sz val="10"/>
      <color rgb="FF0070C0"/>
      <name val="Arial"/>
      <family val="2"/>
    </font>
    <font>
      <b/>
      <sz val="9"/>
      <color rgb="FF000000"/>
      <name val="Arial"/>
      <family val="2"/>
    </font>
    <font>
      <sz val="9"/>
      <color rgb="FF000000"/>
      <name val="Arial"/>
      <family val="2"/>
    </font>
    <font>
      <vertAlign val="superscript"/>
      <sz val="9"/>
      <color rgb="FF000000"/>
      <name val="Arial"/>
      <family val="2"/>
    </font>
    <font>
      <b/>
      <sz val="9"/>
      <color theme="8" tint="-0.249977111117893"/>
      <name val="Arial"/>
      <family val="2"/>
    </font>
    <font>
      <sz val="9"/>
      <color theme="8" tint="-0.249977111117893"/>
      <name val="Arial"/>
      <family val="2"/>
    </font>
    <font>
      <sz val="11"/>
      <color rgb="FF0070C0"/>
      <name val="Calibri"/>
      <family val="2"/>
      <scheme val="minor"/>
    </font>
    <font>
      <sz val="12"/>
      <color theme="1"/>
      <name val="Arial"/>
      <family val="2"/>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AD47"/>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C5E0B3"/>
      </left>
      <right style="medium">
        <color rgb="FFC5E0B3"/>
      </right>
      <top style="medium">
        <color rgb="FFC5E0B3"/>
      </top>
      <bottom style="medium">
        <color rgb="FFC5E0B3"/>
      </bottom>
      <diagonal/>
    </border>
    <border>
      <left/>
      <right style="medium">
        <color rgb="FFC5E0B3"/>
      </right>
      <top style="medium">
        <color rgb="FFC5E0B3"/>
      </top>
      <bottom style="medium">
        <color rgb="FFC5E0B3"/>
      </bottom>
      <diagonal/>
    </border>
    <border>
      <left style="medium">
        <color rgb="FFC5E0B3"/>
      </left>
      <right style="medium">
        <color rgb="FFC5E0B3"/>
      </right>
      <top/>
      <bottom style="medium">
        <color rgb="FFC5E0B3"/>
      </bottom>
      <diagonal/>
    </border>
    <border>
      <left/>
      <right style="medium">
        <color rgb="FFC5E0B3"/>
      </right>
      <top/>
      <bottom style="medium">
        <color rgb="FFC5E0B3"/>
      </bottom>
      <diagonal/>
    </border>
  </borders>
  <cellStyleXfs count="36">
    <xf numFmtId="0" fontId="0" fillId="0" borderId="0"/>
    <xf numFmtId="0" fontId="4" fillId="0" borderId="0"/>
    <xf numFmtId="165" fontId="4"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41" fontId="4" fillId="0" borderId="0" applyFont="0" applyFill="0" applyBorder="0" applyAlignment="0" applyProtection="0"/>
    <xf numFmtId="41" fontId="1" fillId="0" borderId="0" applyFont="0" applyFill="0" applyBorder="0" applyAlignment="0" applyProtection="0"/>
    <xf numFmtId="0" fontId="1" fillId="0" borderId="0"/>
    <xf numFmtId="165" fontId="1" fillId="0" borderId="0" applyFont="0" applyFill="0" applyBorder="0" applyAlignment="0" applyProtection="0"/>
    <xf numFmtId="170" fontId="1" fillId="0" borderId="0" applyFont="0" applyFill="0" applyBorder="0" applyAlignment="0" applyProtection="0"/>
    <xf numFmtId="9" fontId="1" fillId="0" borderId="0" applyFont="0" applyFill="0" applyBorder="0" applyAlignment="0" applyProtection="0"/>
    <xf numFmtId="0" fontId="1" fillId="0" borderId="0"/>
    <xf numFmtId="170" fontId="1" fillId="0" borderId="0" applyFont="0" applyFill="0" applyBorder="0" applyAlignment="0" applyProtection="0"/>
    <xf numFmtId="0" fontId="29" fillId="0" borderId="0"/>
    <xf numFmtId="0" fontId="1" fillId="0" borderId="0"/>
    <xf numFmtId="0" fontId="30" fillId="0" borderId="0" applyNumberFormat="0" applyFill="0" applyBorder="0" applyAlignment="0" applyProtection="0"/>
    <xf numFmtId="0" fontId="31" fillId="0" borderId="0"/>
    <xf numFmtId="43" fontId="1" fillId="0" borderId="0" applyFont="0" applyFill="0" applyBorder="0" applyAlignment="0" applyProtection="0"/>
    <xf numFmtId="0" fontId="1" fillId="0" borderId="0"/>
    <xf numFmtId="0" fontId="4" fillId="0" borderId="0"/>
    <xf numFmtId="0" fontId="1" fillId="0" borderId="0"/>
    <xf numFmtId="180" fontId="1" fillId="0" borderId="0" applyFont="0" applyFill="0" applyBorder="0" applyAlignment="0" applyProtection="0"/>
    <xf numFmtId="180" fontId="1" fillId="0" borderId="0" applyFont="0" applyFill="0" applyBorder="0" applyAlignment="0" applyProtection="0"/>
    <xf numFmtId="181" fontId="1" fillId="0" borderId="0" applyFont="0" applyFill="0" applyBorder="0" applyAlignment="0" applyProtection="0"/>
    <xf numFmtId="180" fontId="1" fillId="0" borderId="0" applyFont="0" applyFill="0" applyBorder="0" applyAlignment="0" applyProtection="0"/>
    <xf numFmtId="180" fontId="4" fillId="0" borderId="0" applyFont="0" applyFill="0" applyBorder="0" applyAlignment="0" applyProtection="0"/>
    <xf numFmtId="180" fontId="1" fillId="0" borderId="0" applyFont="0" applyFill="0" applyBorder="0" applyAlignment="0" applyProtection="0"/>
    <xf numFmtId="43" fontId="1" fillId="0" borderId="0" applyFont="0" applyFill="0" applyBorder="0" applyAlignment="0" applyProtection="0"/>
    <xf numFmtId="0" fontId="29" fillId="0" borderId="0"/>
    <xf numFmtId="181" fontId="1" fillId="0" borderId="0" applyFont="0" applyFill="0" applyBorder="0" applyAlignment="0" applyProtection="0"/>
  </cellStyleXfs>
  <cellXfs count="491">
    <xf numFmtId="0" fontId="0" fillId="0" borderId="0" xfId="0"/>
    <xf numFmtId="0" fontId="6" fillId="0" borderId="0" xfId="1" applyFont="1" applyAlignment="1">
      <alignment horizontal="center" vertical="center" wrapText="1"/>
    </xf>
    <xf numFmtId="2" fontId="6" fillId="0" borderId="0" xfId="1" applyNumberFormat="1" applyFont="1" applyAlignment="1">
      <alignment horizontal="center" vertical="center" wrapText="1"/>
    </xf>
    <xf numFmtId="0" fontId="2" fillId="0" borderId="2" xfId="3" applyFont="1" applyBorder="1" applyAlignment="1">
      <alignment horizontal="center" vertical="center" wrapText="1"/>
    </xf>
    <xf numFmtId="0" fontId="5" fillId="0" borderId="2" xfId="4" applyFont="1" applyBorder="1" applyAlignment="1">
      <alignment horizontal="center" vertical="center" wrapText="1"/>
    </xf>
    <xf numFmtId="0" fontId="3" fillId="0" borderId="2" xfId="3" applyFont="1" applyBorder="1" applyAlignment="1">
      <alignment horizontal="center" vertical="center" wrapText="1"/>
    </xf>
    <xf numFmtId="0" fontId="6" fillId="0" borderId="2" xfId="1" applyFont="1" applyBorder="1" applyAlignment="1">
      <alignment horizontal="center" vertical="center" wrapText="1"/>
    </xf>
    <xf numFmtId="2" fontId="6" fillId="0" borderId="2" xfId="1" applyNumberFormat="1" applyFont="1" applyBorder="1" applyAlignment="1">
      <alignment horizontal="center" vertical="center" wrapText="1"/>
    </xf>
    <xf numFmtId="0" fontId="5" fillId="0" borderId="2" xfId="1" applyFont="1" applyBorder="1" applyAlignment="1">
      <alignment horizontal="center" vertical="center" wrapText="1"/>
    </xf>
    <xf numFmtId="3" fontId="6" fillId="0" borderId="2" xfId="1" applyNumberFormat="1" applyFont="1" applyBorder="1" applyAlignment="1">
      <alignment horizontal="center" vertical="center" wrapText="1"/>
    </xf>
    <xf numFmtId="0" fontId="13" fillId="0" borderId="2" xfId="9" applyFont="1" applyBorder="1" applyAlignment="1">
      <alignment horizontal="center" vertical="center" wrapText="1"/>
    </xf>
    <xf numFmtId="0" fontId="11" fillId="0" borderId="0" xfId="9" applyFont="1"/>
    <xf numFmtId="3" fontId="14" fillId="0" borderId="2" xfId="9" applyNumberFormat="1" applyFont="1" applyBorder="1" applyAlignment="1">
      <alignment horizontal="center" vertical="center" wrapText="1"/>
    </xf>
    <xf numFmtId="3" fontId="15" fillId="0" borderId="2" xfId="9" applyNumberFormat="1" applyFont="1" applyBorder="1" applyAlignment="1">
      <alignment horizontal="center" vertical="center"/>
    </xf>
    <xf numFmtId="3" fontId="13" fillId="0" borderId="2" xfId="9" applyNumberFormat="1" applyFont="1" applyBorder="1" applyAlignment="1">
      <alignment horizontal="center" vertical="center"/>
    </xf>
    <xf numFmtId="0" fontId="15" fillId="0" borderId="0" xfId="9" applyFont="1" applyAlignment="1">
      <alignment horizontal="center" vertical="center"/>
    </xf>
    <xf numFmtId="0" fontId="14" fillId="0" borderId="0" xfId="0" applyFont="1"/>
    <xf numFmtId="0" fontId="14" fillId="0" borderId="0" xfId="0" applyFont="1" applyAlignment="1">
      <alignment horizontal="center" vertical="center" wrapText="1"/>
    </xf>
    <xf numFmtId="0" fontId="12" fillId="0" borderId="2" xfId="0" applyFont="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Border="1" applyAlignment="1">
      <alignment horizontal="center" vertical="center" wrapText="1"/>
    </xf>
    <xf numFmtId="3" fontId="13" fillId="2" borderId="2" xfId="9" applyNumberFormat="1" applyFont="1" applyFill="1" applyBorder="1" applyAlignment="1">
      <alignment horizontal="center" vertical="center"/>
    </xf>
    <xf numFmtId="0" fontId="8" fillId="0" borderId="0" xfId="0" applyFont="1"/>
    <xf numFmtId="0" fontId="6" fillId="0" borderId="0" xfId="9" applyFont="1"/>
    <xf numFmtId="0" fontId="6" fillId="0" borderId="0" xfId="9" applyFont="1" applyAlignment="1">
      <alignment horizontal="center" vertical="center" wrapText="1"/>
    </xf>
    <xf numFmtId="168" fontId="6" fillId="0" borderId="0" xfId="9" applyNumberFormat="1" applyFont="1" applyAlignment="1">
      <alignment horizontal="center" vertical="center" wrapText="1"/>
    </xf>
    <xf numFmtId="0" fontId="5" fillId="0" borderId="0" xfId="0" applyFont="1"/>
    <xf numFmtId="166" fontId="6" fillId="0" borderId="0" xfId="10" applyNumberFormat="1" applyFont="1" applyBorder="1" applyAlignment="1">
      <alignment vertical="center" wrapText="1"/>
    </xf>
    <xf numFmtId="41" fontId="6" fillId="0" borderId="0" xfId="10" applyFont="1" applyBorder="1" applyAlignment="1">
      <alignment vertical="center" wrapText="1"/>
    </xf>
    <xf numFmtId="0" fontId="6" fillId="0" borderId="0" xfId="0" applyFont="1"/>
    <xf numFmtId="0" fontId="6" fillId="0" borderId="0" xfId="0" applyFont="1" applyAlignment="1">
      <alignment horizontal="center" vertical="center" wrapText="1"/>
    </xf>
    <xf numFmtId="0" fontId="3" fillId="0" borderId="0" xfId="0" applyFont="1"/>
    <xf numFmtId="0" fontId="11" fillId="0" borderId="2" xfId="1" applyFont="1" applyBorder="1" applyAlignment="1">
      <alignment horizontal="center" vertical="center" wrapText="1"/>
    </xf>
    <xf numFmtId="0" fontId="11" fillId="0" borderId="0" xfId="1" applyFont="1" applyAlignment="1">
      <alignment horizontal="center" vertical="center" wrapText="1"/>
    </xf>
    <xf numFmtId="0" fontId="15" fillId="0" borderId="2" xfId="0" applyFont="1" applyBorder="1" applyAlignment="1">
      <alignment horizontal="center" vertical="center"/>
    </xf>
    <xf numFmtId="0" fontId="21" fillId="0" borderId="0" xfId="9" applyFont="1"/>
    <xf numFmtId="0" fontId="6" fillId="0" borderId="2" xfId="1" applyFont="1" applyBorder="1" applyAlignment="1">
      <alignment horizontal="center" vertical="center"/>
    </xf>
    <xf numFmtId="3" fontId="6" fillId="0" borderId="2" xfId="1" applyNumberFormat="1" applyFont="1" applyBorder="1" applyAlignment="1">
      <alignment horizontal="center" vertical="center"/>
    </xf>
    <xf numFmtId="3" fontId="6" fillId="0" borderId="2" xfId="1" applyNumberFormat="1" applyFont="1" applyBorder="1"/>
    <xf numFmtId="0" fontId="11" fillId="0" borderId="0" xfId="9" applyFont="1" applyAlignment="1">
      <alignment horizontal="left" vertical="center" wrapText="1"/>
    </xf>
    <xf numFmtId="0" fontId="6" fillId="0" borderId="0" xfId="1" applyFont="1"/>
    <xf numFmtId="0" fontId="12" fillId="0" borderId="0" xfId="9" applyFont="1"/>
    <xf numFmtId="0" fontId="3" fillId="0" borderId="0" xfId="1" applyFont="1"/>
    <xf numFmtId="3" fontId="5" fillId="0" borderId="2" xfId="1" applyNumberFormat="1" applyFont="1" applyBorder="1" applyAlignment="1">
      <alignment horizontal="center" vertical="center" wrapText="1"/>
    </xf>
    <xf numFmtId="0" fontId="14" fillId="0" borderId="0" xfId="9" applyFont="1" applyAlignment="1">
      <alignment horizontal="center" vertical="center" wrapText="1"/>
    </xf>
    <xf numFmtId="0" fontId="11" fillId="0" borderId="0" xfId="9" applyFont="1" applyAlignment="1">
      <alignment horizontal="center" vertical="center" wrapText="1"/>
    </xf>
    <xf numFmtId="0" fontId="14" fillId="0" borderId="2" xfId="9" applyFont="1" applyBorder="1" applyAlignment="1">
      <alignment horizontal="center" vertical="center" wrapText="1"/>
    </xf>
    <xf numFmtId="1" fontId="16" fillId="0" borderId="2" xfId="9" applyNumberFormat="1" applyFont="1" applyBorder="1" applyAlignment="1">
      <alignment horizontal="center" vertical="center" wrapText="1"/>
    </xf>
    <xf numFmtId="0" fontId="11" fillId="0" borderId="2" xfId="9" applyFont="1" applyBorder="1" applyAlignment="1">
      <alignment horizontal="center" vertical="center" wrapText="1"/>
    </xf>
    <xf numFmtId="0" fontId="15" fillId="0" borderId="0" xfId="9" applyFont="1" applyAlignment="1">
      <alignment horizontal="center" vertical="center" wrapText="1"/>
    </xf>
    <xf numFmtId="0" fontId="13" fillId="0" borderId="0" xfId="9" applyFont="1" applyAlignment="1">
      <alignment vertical="center" wrapText="1"/>
    </xf>
    <xf numFmtId="0" fontId="2" fillId="0" borderId="0" xfId="0" applyFont="1"/>
    <xf numFmtId="0" fontId="8" fillId="0" borderId="0" xfId="0" applyFont="1" applyAlignment="1">
      <alignment horizontal="center"/>
    </xf>
    <xf numFmtId="167" fontId="8" fillId="0" borderId="0" xfId="10" applyNumberFormat="1" applyFont="1" applyFill="1"/>
    <xf numFmtId="0" fontId="3" fillId="0" borderId="0" xfId="0" applyFont="1" applyAlignment="1">
      <alignment vertical="center" wrapText="1"/>
    </xf>
    <xf numFmtId="167" fontId="8" fillId="0" borderId="0" xfId="10" applyNumberFormat="1" applyFont="1" applyFill="1" applyBorder="1" applyAlignment="1">
      <alignment horizontal="center" vertical="center" wrapText="1"/>
    </xf>
    <xf numFmtId="0" fontId="8"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horizontal="center"/>
    </xf>
    <xf numFmtId="167" fontId="8" fillId="0" borderId="0" xfId="10" applyNumberFormat="1" applyFont="1" applyFill="1" applyBorder="1"/>
    <xf numFmtId="2" fontId="2" fillId="0" borderId="2" xfId="0" applyNumberFormat="1" applyFont="1" applyBorder="1" applyAlignment="1">
      <alignment horizontal="center" vertical="center" wrapText="1"/>
    </xf>
    <xf numFmtId="0" fontId="7" fillId="0" borderId="0" xfId="0" applyFont="1"/>
    <xf numFmtId="4" fontId="7" fillId="0" borderId="0" xfId="0" applyNumberFormat="1" applyFont="1" applyAlignment="1">
      <alignment horizontal="center"/>
    </xf>
    <xf numFmtId="167" fontId="8" fillId="0" borderId="0" xfId="10" applyNumberFormat="1" applyFont="1" applyFill="1" applyBorder="1" applyAlignment="1">
      <alignment horizontal="center"/>
    </xf>
    <xf numFmtId="0" fontId="3" fillId="0" borderId="2" xfId="0" applyFont="1" applyBorder="1"/>
    <xf numFmtId="0" fontId="3" fillId="0" borderId="2" xfId="0" applyFont="1" applyBorder="1" applyAlignment="1">
      <alignment horizontal="center"/>
    </xf>
    <xf numFmtId="168" fontId="3" fillId="0" borderId="2" xfId="0" applyNumberFormat="1" applyFont="1" applyBorder="1" applyAlignment="1">
      <alignment horizontal="center"/>
    </xf>
    <xf numFmtId="1" fontId="2" fillId="0" borderId="2" xfId="0" applyNumberFormat="1" applyFont="1" applyBorder="1" applyAlignment="1">
      <alignment horizontal="center"/>
    </xf>
    <xf numFmtId="4" fontId="7" fillId="0" borderId="0" xfId="0" applyNumberFormat="1" applyFont="1" applyAlignment="1">
      <alignment horizontal="right"/>
    </xf>
    <xf numFmtId="167" fontId="7" fillId="0" borderId="0" xfId="10" applyNumberFormat="1" applyFont="1" applyFill="1" applyBorder="1" applyAlignment="1">
      <alignment horizontal="right"/>
    </xf>
    <xf numFmtId="1" fontId="3" fillId="0" borderId="2" xfId="0" applyNumberFormat="1" applyFont="1" applyBorder="1" applyAlignment="1">
      <alignment horizontal="center"/>
    </xf>
    <xf numFmtId="1" fontId="8" fillId="0" borderId="0" xfId="0" applyNumberFormat="1" applyFont="1" applyAlignment="1">
      <alignment horizontal="center"/>
    </xf>
    <xf numFmtId="172" fontId="2" fillId="0" borderId="2" xfId="14" applyNumberFormat="1" applyFont="1" applyFill="1" applyBorder="1" applyAlignment="1">
      <alignment horizontal="right" vertical="center" wrapText="1"/>
    </xf>
    <xf numFmtId="0" fontId="2" fillId="0" borderId="0" xfId="0" applyFont="1" applyAlignment="1">
      <alignment horizontal="center"/>
    </xf>
    <xf numFmtId="2" fontId="24" fillId="0" borderId="0" xfId="0" applyNumberFormat="1" applyFont="1" applyAlignment="1">
      <alignment horizontal="left" vertical="center" wrapText="1"/>
    </xf>
    <xf numFmtId="0" fontId="7" fillId="0" borderId="0" xfId="0" applyFont="1" applyAlignment="1">
      <alignment horizontal="center"/>
    </xf>
    <xf numFmtId="0" fontId="7" fillId="0" borderId="0" xfId="0" applyFont="1" applyAlignment="1">
      <alignment horizontal="center" vertical="center" wrapText="1"/>
    </xf>
    <xf numFmtId="0" fontId="2" fillId="0" borderId="2" xfId="0" applyFont="1" applyBorder="1"/>
    <xf numFmtId="43" fontId="8" fillId="0" borderId="0" xfId="0" applyNumberFormat="1" applyFont="1"/>
    <xf numFmtId="2" fontId="8" fillId="0" borderId="0" xfId="0" applyNumberFormat="1" applyFont="1" applyAlignment="1">
      <alignment horizontal="right"/>
    </xf>
    <xf numFmtId="167" fontId="8" fillId="0" borderId="0" xfId="10" applyNumberFormat="1" applyFont="1"/>
    <xf numFmtId="172" fontId="3" fillId="0" borderId="2" xfId="14" applyNumberFormat="1" applyFont="1" applyBorder="1" applyAlignment="1">
      <alignment horizontal="center"/>
    </xf>
    <xf numFmtId="172" fontId="3" fillId="0" borderId="2" xfId="14" applyNumberFormat="1" applyFont="1" applyFill="1" applyBorder="1" applyAlignment="1">
      <alignment horizontal="center"/>
    </xf>
    <xf numFmtId="172" fontId="8" fillId="0" borderId="0" xfId="14" applyNumberFormat="1" applyFont="1" applyFill="1" applyBorder="1"/>
    <xf numFmtId="172" fontId="8" fillId="0" borderId="0" xfId="14" applyNumberFormat="1" applyFont="1" applyFill="1" applyBorder="1" applyAlignment="1">
      <alignment horizontal="right"/>
    </xf>
    <xf numFmtId="3" fontId="8" fillId="0" borderId="0" xfId="0" applyNumberFormat="1" applyFont="1" applyAlignment="1">
      <alignment horizontal="right"/>
    </xf>
    <xf numFmtId="167" fontId="7" fillId="0" borderId="0" xfId="10" applyNumberFormat="1" applyFont="1" applyBorder="1" applyAlignment="1">
      <alignment horizontal="right"/>
    </xf>
    <xf numFmtId="3" fontId="8" fillId="0" borderId="0" xfId="0" applyNumberFormat="1" applyFont="1"/>
    <xf numFmtId="3" fontId="7" fillId="0" borderId="0" xfId="0" applyNumberFormat="1" applyFont="1" applyAlignment="1">
      <alignment horizontal="center"/>
    </xf>
    <xf numFmtId="3" fontId="7" fillId="0" borderId="0" xfId="0" applyNumberFormat="1" applyFont="1"/>
    <xf numFmtId="43" fontId="7" fillId="0" borderId="0" xfId="0" applyNumberFormat="1" applyFont="1" applyAlignment="1">
      <alignment horizontal="center"/>
    </xf>
    <xf numFmtId="43" fontId="7" fillId="0" borderId="0" xfId="0" applyNumberFormat="1" applyFont="1"/>
    <xf numFmtId="0" fontId="2" fillId="0" borderId="2" xfId="0" applyFont="1" applyBorder="1" applyAlignment="1">
      <alignment horizontal="center" vertical="center" wrapText="1"/>
    </xf>
    <xf numFmtId="41" fontId="6" fillId="0" borderId="0" xfId="10" applyFont="1" applyFill="1" applyBorder="1"/>
    <xf numFmtId="0" fontId="21" fillId="0" borderId="0" xfId="0" applyFont="1"/>
    <xf numFmtId="0" fontId="21" fillId="0" borderId="0" xfId="0" applyFont="1" applyAlignment="1">
      <alignment horizontal="center" vertical="center" wrapText="1"/>
    </xf>
    <xf numFmtId="41" fontId="5" fillId="0" borderId="6" xfId="9" applyNumberFormat="1" applyFont="1" applyBorder="1" applyAlignment="1">
      <alignment vertical="center" wrapText="1"/>
    </xf>
    <xf numFmtId="0" fontId="16" fillId="2" borderId="2" xfId="9" applyFont="1" applyFill="1" applyBorder="1" applyAlignment="1">
      <alignment horizontal="center" vertical="center" wrapText="1"/>
    </xf>
    <xf numFmtId="0" fontId="2" fillId="0" borderId="2" xfId="0" applyFont="1" applyBorder="1" applyAlignment="1">
      <alignment vertical="center" wrapText="1"/>
    </xf>
    <xf numFmtId="167" fontId="2" fillId="0" borderId="2" xfId="10" applyNumberFormat="1" applyFont="1" applyFill="1" applyBorder="1" applyAlignment="1">
      <alignment horizontal="center" vertical="center" wrapText="1"/>
    </xf>
    <xf numFmtId="0" fontId="3" fillId="0" borderId="2" xfId="0" applyFont="1" applyBorder="1" applyAlignment="1">
      <alignment vertical="center" wrapText="1"/>
    </xf>
    <xf numFmtId="2" fontId="3" fillId="0" borderId="2" xfId="0" applyNumberFormat="1" applyFont="1" applyBorder="1" applyAlignment="1">
      <alignment horizontal="center" vertical="center" wrapText="1"/>
    </xf>
    <xf numFmtId="167" fontId="3" fillId="0" borderId="2" xfId="10" applyNumberFormat="1" applyFont="1" applyFill="1" applyBorder="1" applyAlignment="1">
      <alignment horizontal="center" vertical="center" wrapText="1"/>
    </xf>
    <xf numFmtId="0" fontId="2" fillId="0" borderId="0" xfId="0" applyFont="1" applyAlignment="1">
      <alignment horizontal="center" vertical="center" wrapText="1"/>
    </xf>
    <xf numFmtId="167" fontId="3" fillId="0" borderId="0" xfId="10" applyNumberFormat="1" applyFont="1" applyFill="1" applyBorder="1" applyAlignment="1">
      <alignment horizontal="right"/>
    </xf>
    <xf numFmtId="172" fontId="3" fillId="0" borderId="0" xfId="14" applyNumberFormat="1" applyFont="1" applyFill="1" applyBorder="1" applyAlignment="1">
      <alignment horizontal="right"/>
    </xf>
    <xf numFmtId="3" fontId="3" fillId="0" borderId="0" xfId="0" applyNumberFormat="1" applyFont="1" applyAlignment="1">
      <alignment horizontal="right"/>
    </xf>
    <xf numFmtId="3" fontId="2" fillId="0" borderId="0" xfId="0" applyNumberFormat="1" applyFont="1"/>
    <xf numFmtId="172" fontId="3" fillId="0" borderId="0" xfId="14" applyNumberFormat="1" applyFont="1" applyFill="1" applyBorder="1" applyAlignment="1">
      <alignment horizontal="center"/>
    </xf>
    <xf numFmtId="0" fontId="5" fillId="0" borderId="0" xfId="1" applyFont="1" applyAlignment="1">
      <alignment horizontal="center" vertical="center" wrapText="1"/>
    </xf>
    <xf numFmtId="0" fontId="25" fillId="0" borderId="0" xfId="0" applyFont="1"/>
    <xf numFmtId="0" fontId="19" fillId="0" borderId="0" xfId="0" applyFont="1"/>
    <xf numFmtId="0" fontId="12" fillId="0" borderId="8" xfId="17" applyFont="1" applyBorder="1" applyAlignment="1">
      <alignment horizontal="center" vertical="center" wrapText="1"/>
    </xf>
    <xf numFmtId="0" fontId="27" fillId="0" borderId="0" xfId="17" applyFont="1" applyAlignment="1">
      <alignment horizontal="center" vertical="center" wrapText="1"/>
    </xf>
    <xf numFmtId="0" fontId="12" fillId="0" borderId="2" xfId="17" applyFont="1" applyBorder="1" applyAlignment="1">
      <alignment horizontal="center" wrapText="1"/>
    </xf>
    <xf numFmtId="0" fontId="12" fillId="0" borderId="8" xfId="17" applyFont="1" applyBorder="1" applyAlignment="1">
      <alignment horizontal="center" wrapText="1"/>
    </xf>
    <xf numFmtId="0" fontId="27" fillId="0" borderId="0" xfId="17" applyFont="1"/>
    <xf numFmtId="0" fontId="11" fillId="0" borderId="2" xfId="17" applyFont="1" applyBorder="1" applyAlignment="1">
      <alignment horizontal="center" wrapText="1"/>
    </xf>
    <xf numFmtId="10" fontId="11" fillId="0" borderId="2" xfId="17" applyNumberFormat="1" applyFont="1" applyBorder="1" applyAlignment="1">
      <alignment horizontal="center" wrapText="1"/>
    </xf>
    <xf numFmtId="0" fontId="11" fillId="0" borderId="8" xfId="17" applyFont="1" applyBorder="1" applyAlignment="1">
      <alignment horizontal="center" wrapText="1"/>
    </xf>
    <xf numFmtId="0" fontId="15" fillId="0" borderId="2" xfId="17" applyFont="1" applyBorder="1" applyAlignment="1">
      <alignment horizontal="center" vertical="center" wrapText="1"/>
    </xf>
    <xf numFmtId="10" fontId="15" fillId="0" borderId="2" xfId="17" applyNumberFormat="1" applyFont="1" applyBorder="1" applyAlignment="1">
      <alignment horizontal="center" vertical="center" wrapText="1"/>
    </xf>
    <xf numFmtId="9" fontId="15" fillId="0" borderId="2" xfId="17" applyNumberFormat="1" applyFont="1" applyBorder="1" applyAlignment="1">
      <alignment horizontal="center" vertical="center" wrapText="1"/>
    </xf>
    <xf numFmtId="0" fontId="11" fillId="0" borderId="8" xfId="17" applyFont="1" applyBorder="1" applyAlignment="1">
      <alignment horizontal="center" vertical="center" wrapText="1"/>
    </xf>
    <xf numFmtId="0" fontId="14" fillId="0" borderId="2" xfId="17" applyFont="1" applyBorder="1" applyAlignment="1">
      <alignment horizontal="center" vertical="center" wrapText="1"/>
    </xf>
    <xf numFmtId="10" fontId="14" fillId="0" borderId="2" xfId="17" applyNumberFormat="1" applyFont="1" applyBorder="1" applyAlignment="1">
      <alignment horizontal="center" vertical="center" wrapText="1"/>
    </xf>
    <xf numFmtId="0" fontId="11" fillId="0" borderId="2" xfId="17" applyFont="1" applyBorder="1" applyAlignment="1">
      <alignment horizontal="center" vertical="center" wrapText="1"/>
    </xf>
    <xf numFmtId="0" fontId="14" fillId="0" borderId="0" xfId="17" applyFont="1" applyAlignment="1">
      <alignment horizontal="center" vertical="center" wrapText="1"/>
    </xf>
    <xf numFmtId="10" fontId="14" fillId="0" borderId="0" xfId="17" applyNumberFormat="1" applyFont="1" applyAlignment="1">
      <alignment horizontal="center" vertical="center" wrapText="1"/>
    </xf>
    <xf numFmtId="0" fontId="11" fillId="0" borderId="0" xfId="17" applyFont="1" applyAlignment="1">
      <alignment horizontal="center" vertical="center" wrapText="1"/>
    </xf>
    <xf numFmtId="0" fontId="11" fillId="0" borderId="0" xfId="17" applyFont="1"/>
    <xf numFmtId="0" fontId="11" fillId="4" borderId="2" xfId="17" applyFont="1" applyFill="1" applyBorder="1"/>
    <xf numFmtId="9" fontId="11" fillId="0" borderId="2" xfId="17" applyNumberFormat="1" applyFont="1" applyBorder="1"/>
    <xf numFmtId="164" fontId="6" fillId="0" borderId="0" xfId="1" applyNumberFormat="1" applyFont="1" applyAlignment="1">
      <alignment horizontal="center" vertical="center" wrapText="1"/>
    </xf>
    <xf numFmtId="164" fontId="6" fillId="0" borderId="2" xfId="1" applyNumberFormat="1" applyFont="1" applyBorder="1" applyAlignment="1">
      <alignment horizontal="center" vertical="center" wrapText="1"/>
    </xf>
    <xf numFmtId="0" fontId="10" fillId="0" borderId="2" xfId="0" applyFont="1" applyBorder="1" applyAlignment="1">
      <alignment horizontal="center" vertical="center" wrapText="1"/>
    </xf>
    <xf numFmtId="164" fontId="10" fillId="0" borderId="2" xfId="0" applyNumberFormat="1" applyFont="1" applyBorder="1" applyAlignment="1">
      <alignment horizontal="center" vertical="center" wrapText="1"/>
    </xf>
    <xf numFmtId="169" fontId="6" fillId="0" borderId="2" xfId="1" applyNumberFormat="1" applyFont="1" applyBorder="1" applyAlignment="1">
      <alignment horizontal="center" vertical="center" wrapText="1"/>
    </xf>
    <xf numFmtId="0" fontId="9" fillId="0" borderId="2" xfId="0" applyFont="1" applyBorder="1" applyAlignment="1">
      <alignment horizontal="center" vertical="center" wrapText="1"/>
    </xf>
    <xf numFmtId="167" fontId="3" fillId="0" borderId="2" xfId="10" applyNumberFormat="1" applyFont="1" applyBorder="1" applyAlignment="1">
      <alignment horizontal="center"/>
    </xf>
    <xf numFmtId="167" fontId="3" fillId="0" borderId="2" xfId="10" applyNumberFormat="1" applyFont="1" applyFill="1" applyBorder="1" applyAlignment="1">
      <alignment horizontal="center"/>
    </xf>
    <xf numFmtId="3" fontId="3" fillId="0" borderId="2" xfId="0" applyNumberFormat="1" applyFont="1" applyBorder="1" applyAlignment="1">
      <alignment horizontal="center"/>
    </xf>
    <xf numFmtId="0" fontId="8" fillId="0" borderId="0" xfId="1" applyFont="1" applyAlignment="1">
      <alignment horizontal="center" vertical="center" wrapText="1"/>
    </xf>
    <xf numFmtId="0" fontId="11" fillId="0" borderId="2" xfId="9" applyFont="1" applyBorder="1" applyAlignment="1">
      <alignment horizontal="left" vertical="center" wrapText="1"/>
    </xf>
    <xf numFmtId="41" fontId="11" fillId="0" borderId="2" xfId="6" applyFont="1" applyBorder="1" applyAlignment="1">
      <alignment horizontal="center"/>
    </xf>
    <xf numFmtId="175" fontId="11" fillId="0" borderId="2" xfId="9" applyNumberFormat="1" applyFont="1" applyBorder="1" applyAlignment="1">
      <alignment horizontal="center" vertical="center" wrapText="1"/>
    </xf>
    <xf numFmtId="0" fontId="12" fillId="0" borderId="2" xfId="9" applyFont="1" applyBorder="1" applyAlignment="1">
      <alignment horizontal="left" vertical="center" wrapText="1"/>
    </xf>
    <xf numFmtId="41" fontId="12" fillId="0" borderId="2" xfId="6" applyFont="1" applyBorder="1" applyAlignment="1">
      <alignment horizontal="center"/>
    </xf>
    <xf numFmtId="0" fontId="15" fillId="0" borderId="3" xfId="0" applyFont="1" applyBorder="1" applyAlignment="1">
      <alignment horizontal="center" vertical="center" wrapText="1"/>
    </xf>
    <xf numFmtId="175" fontId="15" fillId="0" borderId="2" xfId="0" applyNumberFormat="1" applyFont="1" applyBorder="1" applyAlignment="1">
      <alignment horizontal="center" vertical="center" wrapText="1"/>
    </xf>
    <xf numFmtId="0" fontId="11" fillId="0" borderId="0" xfId="0" applyFont="1"/>
    <xf numFmtId="0" fontId="13"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41" fontId="15" fillId="0" borderId="2" xfId="0" applyNumberFormat="1" applyFont="1" applyBorder="1" applyAlignment="1">
      <alignment horizontal="center" vertical="center" wrapText="1"/>
    </xf>
    <xf numFmtId="166" fontId="14" fillId="0" borderId="2" xfId="6" applyNumberFormat="1" applyFont="1" applyBorder="1" applyAlignment="1">
      <alignment horizontal="center" vertical="center"/>
    </xf>
    <xf numFmtId="0" fontId="28" fillId="0" borderId="0" xfId="9" applyFont="1"/>
    <xf numFmtId="0" fontId="6" fillId="0" borderId="2" xfId="9" applyFont="1" applyBorder="1" applyAlignment="1">
      <alignment horizontal="center" vertical="center" wrapText="1"/>
    </xf>
    <xf numFmtId="166" fontId="6" fillId="0" borderId="2" xfId="6" applyNumberFormat="1" applyFont="1" applyFill="1" applyBorder="1" applyAlignment="1">
      <alignment horizontal="center" vertical="center" wrapText="1"/>
    </xf>
    <xf numFmtId="166" fontId="6" fillId="0" borderId="2" xfId="6" applyNumberFormat="1" applyFont="1" applyBorder="1" applyAlignment="1">
      <alignment vertical="center" wrapText="1"/>
    </xf>
    <xf numFmtId="43" fontId="6" fillId="0" borderId="2" xfId="9" applyNumberFormat="1" applyFont="1" applyBorder="1" applyAlignment="1">
      <alignment vertical="center" wrapText="1"/>
    </xf>
    <xf numFmtId="0" fontId="28" fillId="0" borderId="0" xfId="9" applyFont="1" applyAlignment="1">
      <alignment horizontal="center" vertical="center" wrapText="1"/>
    </xf>
    <xf numFmtId="0" fontId="18" fillId="0" borderId="0" xfId="9" applyFont="1" applyAlignment="1">
      <alignment horizontal="left" vertical="center" wrapText="1"/>
    </xf>
    <xf numFmtId="0" fontId="12" fillId="0" borderId="0" xfId="0" applyFont="1" applyAlignment="1">
      <alignment horizontal="center" vertical="center" wrapText="1"/>
    </xf>
    <xf numFmtId="0" fontId="16" fillId="0" borderId="0" xfId="0" applyFont="1" applyAlignment="1">
      <alignment horizontal="center"/>
    </xf>
    <xf numFmtId="0" fontId="16" fillId="6" borderId="2" xfId="9" applyFont="1" applyFill="1" applyBorder="1" applyAlignment="1">
      <alignment horizontal="center" vertical="center" wrapText="1"/>
    </xf>
    <xf numFmtId="3" fontId="16" fillId="6" borderId="2" xfId="9" applyNumberFormat="1" applyFont="1" applyFill="1" applyBorder="1"/>
    <xf numFmtId="0" fontId="11" fillId="0" borderId="0" xfId="1" applyFont="1"/>
    <xf numFmtId="0" fontId="12" fillId="0" borderId="2" xfId="1" applyFont="1" applyBorder="1" applyAlignment="1">
      <alignment horizontal="center" vertical="center" wrapText="1"/>
    </xf>
    <xf numFmtId="0" fontId="12" fillId="0" borderId="0" xfId="1" applyFont="1" applyAlignment="1">
      <alignment horizontal="center" vertical="center" wrapText="1"/>
    </xf>
    <xf numFmtId="0" fontId="11" fillId="0" borderId="2" xfId="1" applyFont="1" applyBorder="1" applyAlignment="1">
      <alignment horizontal="left" vertical="center" wrapText="1"/>
    </xf>
    <xf numFmtId="3" fontId="11" fillId="0" borderId="0" xfId="1" applyNumberFormat="1" applyFont="1" applyAlignment="1">
      <alignment wrapText="1"/>
    </xf>
    <xf numFmtId="4" fontId="11" fillId="0" borderId="2" xfId="1" applyNumberFormat="1" applyFont="1" applyBorder="1" applyAlignment="1">
      <alignment horizontal="center" vertical="center" wrapText="1"/>
    </xf>
    <xf numFmtId="17" fontId="11" fillId="0" borderId="0" xfId="1" applyNumberFormat="1" applyFont="1" applyAlignment="1">
      <alignment horizontal="center" vertical="center" wrapText="1"/>
    </xf>
    <xf numFmtId="17" fontId="11" fillId="0" borderId="2" xfId="1" applyNumberFormat="1" applyFont="1" applyBorder="1" applyAlignment="1">
      <alignment horizontal="center" vertical="center" wrapText="1"/>
    </xf>
    <xf numFmtId="0" fontId="12" fillId="0" borderId="2" xfId="8" applyFont="1" applyBorder="1" applyAlignment="1">
      <alignment horizontal="center" vertical="center" wrapText="1"/>
    </xf>
    <xf numFmtId="0" fontId="14" fillId="0" borderId="2" xfId="8" applyFont="1" applyBorder="1" applyAlignment="1">
      <alignment horizontal="center" vertical="center" wrapText="1"/>
    </xf>
    <xf numFmtId="171" fontId="11" fillId="0" borderId="2" xfId="8" applyNumberFormat="1" applyFont="1" applyBorder="1" applyAlignment="1">
      <alignment horizontal="center" vertical="center" wrapText="1"/>
    </xf>
    <xf numFmtId="0" fontId="20" fillId="0" borderId="0" xfId="3" applyFont="1" applyAlignment="1">
      <alignment horizontal="center" vertical="center" wrapText="1"/>
    </xf>
    <xf numFmtId="0" fontId="18" fillId="0" borderId="0" xfId="3" applyFont="1" applyAlignment="1">
      <alignment horizontal="center" vertical="center" wrapText="1"/>
    </xf>
    <xf numFmtId="0" fontId="16" fillId="0" borderId="2" xfId="3" applyFont="1" applyBorder="1" applyAlignment="1">
      <alignment horizontal="center" vertical="center" wrapText="1"/>
    </xf>
    <xf numFmtId="0" fontId="12" fillId="0" borderId="2" xfId="4" applyFont="1" applyBorder="1" applyAlignment="1">
      <alignment horizontal="center" vertical="center" wrapText="1"/>
    </xf>
    <xf numFmtId="0" fontId="14" fillId="0" borderId="11" xfId="3" applyFont="1" applyBorder="1" applyAlignment="1">
      <alignment horizontal="center" vertical="center" wrapText="1"/>
    </xf>
    <xf numFmtId="0" fontId="14" fillId="0" borderId="2" xfId="3" applyFont="1" applyBorder="1" applyAlignment="1">
      <alignment horizontal="left" vertical="center" wrapText="1"/>
    </xf>
    <xf numFmtId="0" fontId="14" fillId="0" borderId="2" xfId="3" applyFont="1" applyBorder="1" applyAlignment="1">
      <alignment horizontal="center" vertical="center" wrapText="1"/>
    </xf>
    <xf numFmtId="0" fontId="11" fillId="0" borderId="2" xfId="4" applyFont="1" applyBorder="1" applyAlignment="1">
      <alignment horizontal="center" vertical="center" wrapText="1"/>
    </xf>
    <xf numFmtId="2" fontId="11" fillId="0" borderId="2" xfId="4" applyNumberFormat="1" applyFont="1" applyBorder="1" applyAlignment="1">
      <alignment horizontal="center" vertical="center" wrapText="1"/>
    </xf>
    <xf numFmtId="166" fontId="11" fillId="0" borderId="2" xfId="5" applyNumberFormat="1" applyFont="1" applyFill="1" applyBorder="1" applyAlignment="1">
      <alignment horizontal="center" vertical="center" wrapText="1"/>
    </xf>
    <xf numFmtId="41" fontId="11" fillId="0" borderId="2" xfId="5" applyFont="1" applyFill="1" applyBorder="1" applyAlignment="1">
      <alignment horizontal="center" vertical="center" wrapText="1"/>
    </xf>
    <xf numFmtId="0" fontId="14" fillId="0" borderId="2" xfId="3" quotePrefix="1" applyFont="1" applyBorder="1" applyAlignment="1">
      <alignment horizontal="left" vertical="center" wrapText="1"/>
    </xf>
    <xf numFmtId="0" fontId="18" fillId="0" borderId="2" xfId="3" applyFont="1" applyBorder="1" applyAlignment="1">
      <alignment horizontal="center" vertical="center" wrapText="1"/>
    </xf>
    <xf numFmtId="0" fontId="14" fillId="0" borderId="0" xfId="3" applyFont="1" applyAlignment="1">
      <alignment horizontal="center" vertical="center" wrapText="1"/>
    </xf>
    <xf numFmtId="0" fontId="16" fillId="0" borderId="0" xfId="3" applyFont="1" applyAlignment="1">
      <alignment horizontal="center" vertical="center" wrapText="1"/>
    </xf>
    <xf numFmtId="1" fontId="11" fillId="0" borderId="2" xfId="1" applyNumberFormat="1" applyFont="1" applyBorder="1" applyAlignment="1">
      <alignment horizontal="center" vertical="center" wrapText="1"/>
    </xf>
    <xf numFmtId="0" fontId="14" fillId="0" borderId="0" xfId="3" applyFont="1" applyAlignment="1">
      <alignment horizontal="left" vertical="center" wrapText="1"/>
    </xf>
    <xf numFmtId="176" fontId="18" fillId="0" borderId="0" xfId="3" applyNumberFormat="1" applyFont="1" applyAlignment="1">
      <alignment horizontal="center" vertical="center" wrapText="1"/>
    </xf>
    <xf numFmtId="169" fontId="14" fillId="0" borderId="0" xfId="3" applyNumberFormat="1" applyFont="1" applyAlignment="1">
      <alignment horizontal="center" vertical="center" wrapText="1"/>
    </xf>
    <xf numFmtId="169" fontId="18" fillId="0" borderId="0" xfId="3" applyNumberFormat="1" applyFont="1" applyAlignment="1">
      <alignment horizontal="center" vertical="center" wrapText="1"/>
    </xf>
    <xf numFmtId="41" fontId="18" fillId="0" borderId="0" xfId="12" applyFont="1" applyAlignment="1">
      <alignment horizontal="center" vertical="center" wrapText="1"/>
    </xf>
    <xf numFmtId="41" fontId="11" fillId="6" borderId="2" xfId="5" applyFont="1" applyFill="1" applyBorder="1" applyAlignment="1">
      <alignment horizontal="center" vertical="center" wrapText="1"/>
    </xf>
    <xf numFmtId="0" fontId="14" fillId="0" borderId="9" xfId="3" applyFont="1" applyBorder="1" applyAlignment="1">
      <alignment vertical="center" wrapText="1"/>
    </xf>
    <xf numFmtId="0" fontId="18" fillId="0" borderId="0" xfId="3" applyFont="1" applyAlignment="1">
      <alignment horizontal="left" vertical="center" wrapText="1"/>
    </xf>
    <xf numFmtId="4" fontId="11" fillId="0" borderId="2" xfId="3" applyNumberFormat="1" applyFont="1" applyBorder="1" applyAlignment="1">
      <alignment horizontal="center" vertical="center"/>
    </xf>
    <xf numFmtId="0" fontId="12" fillId="6" borderId="13" xfId="0" applyFont="1" applyFill="1" applyBorder="1" applyAlignment="1">
      <alignment horizontal="center" vertical="center" wrapText="1"/>
    </xf>
    <xf numFmtId="164" fontId="11" fillId="6" borderId="14" xfId="0" applyNumberFormat="1" applyFont="1" applyFill="1" applyBorder="1" applyAlignment="1">
      <alignment horizontal="center" vertical="center" wrapText="1"/>
    </xf>
    <xf numFmtId="177" fontId="11" fillId="0" borderId="2" xfId="9" applyNumberFormat="1" applyFont="1" applyBorder="1" applyAlignment="1">
      <alignment horizontal="center" vertical="center" wrapText="1"/>
    </xf>
    <xf numFmtId="0" fontId="15" fillId="0" borderId="2" xfId="0" applyFont="1" applyBorder="1" applyAlignment="1">
      <alignment horizontal="center" vertical="center" wrapText="1"/>
    </xf>
    <xf numFmtId="0" fontId="15" fillId="0" borderId="0" xfId="0" applyFont="1" applyAlignment="1">
      <alignment horizontal="center" vertical="center"/>
    </xf>
    <xf numFmtId="0" fontId="1" fillId="0" borderId="0" xfId="0" applyFont="1"/>
    <xf numFmtId="0" fontId="18" fillId="0" borderId="0" xfId="0" applyFont="1" applyAlignment="1">
      <alignment horizontal="center" vertical="center" wrapText="1"/>
    </xf>
    <xf numFmtId="3" fontId="6" fillId="0" borderId="10" xfId="1" applyNumberFormat="1" applyFont="1" applyBorder="1"/>
    <xf numFmtId="3" fontId="6" fillId="6" borderId="16" xfId="1" applyNumberFormat="1" applyFont="1" applyFill="1" applyBorder="1"/>
    <xf numFmtId="0" fontId="12" fillId="0" borderId="3" xfId="8" applyFont="1" applyBorder="1" applyAlignment="1">
      <alignment horizontal="center" vertical="center" wrapText="1"/>
    </xf>
    <xf numFmtId="171" fontId="11" fillId="0" borderId="3" xfId="8" applyNumberFormat="1" applyFont="1" applyBorder="1" applyAlignment="1">
      <alignment horizontal="center" vertical="center" wrapText="1"/>
    </xf>
    <xf numFmtId="0" fontId="12" fillId="6" borderId="13" xfId="8" applyFont="1" applyFill="1" applyBorder="1" applyAlignment="1">
      <alignment horizontal="center" vertical="center" wrapText="1"/>
    </xf>
    <xf numFmtId="171" fontId="12" fillId="6" borderId="14" xfId="8" applyNumberFormat="1" applyFont="1" applyFill="1" applyBorder="1" applyAlignment="1">
      <alignment horizontal="center" vertical="center" wrapText="1"/>
    </xf>
    <xf numFmtId="0" fontId="16" fillId="0" borderId="3" xfId="3" applyFont="1" applyBorder="1" applyAlignment="1">
      <alignment horizontal="center" vertical="center" wrapText="1"/>
    </xf>
    <xf numFmtId="169" fontId="11" fillId="0" borderId="3" xfId="3" applyNumberFormat="1" applyFont="1" applyBorder="1" applyAlignment="1">
      <alignment horizontal="center" vertical="center" wrapText="1"/>
    </xf>
    <xf numFmtId="0" fontId="33" fillId="0" borderId="0" xfId="0" applyFont="1" applyAlignment="1">
      <alignment horizontal="center"/>
    </xf>
    <xf numFmtId="0" fontId="13" fillId="0" borderId="0" xfId="9" applyFont="1" applyAlignment="1">
      <alignment horizontal="center" vertical="center" wrapText="1"/>
    </xf>
    <xf numFmtId="0" fontId="12" fillId="0" borderId="2" xfId="9" applyFont="1" applyBorder="1" applyAlignment="1">
      <alignment horizontal="center" vertical="center" wrapText="1"/>
    </xf>
    <xf numFmtId="0" fontId="17" fillId="0" borderId="2" xfId="24" applyFont="1" applyBorder="1" applyAlignment="1">
      <alignment horizontal="center" vertical="center" wrapText="1"/>
    </xf>
    <xf numFmtId="0" fontId="1" fillId="0" borderId="0" xfId="24"/>
    <xf numFmtId="0" fontId="1" fillId="0" borderId="2" xfId="24" applyBorder="1" applyAlignment="1">
      <alignment horizontal="center" vertical="center" wrapText="1"/>
    </xf>
    <xf numFmtId="0" fontId="17" fillId="0" borderId="2" xfId="0" applyFont="1" applyBorder="1" applyAlignment="1">
      <alignment horizontal="center" vertical="center" wrapText="1"/>
    </xf>
    <xf numFmtId="2" fontId="17" fillId="0" borderId="2" xfId="0" applyNumberFormat="1" applyFont="1" applyBorder="1" applyAlignment="1">
      <alignment horizontal="center" vertical="center" wrapText="1"/>
    </xf>
    <xf numFmtId="2" fontId="0" fillId="0" borderId="2" xfId="0" applyNumberFormat="1" applyBorder="1" applyAlignment="1">
      <alignment horizontal="center" vertical="center" wrapText="1"/>
    </xf>
    <xf numFmtId="3" fontId="5" fillId="0" borderId="0" xfId="4" applyNumberFormat="1" applyFont="1" applyAlignment="1">
      <alignment horizontal="center" vertical="center" wrapText="1"/>
    </xf>
    <xf numFmtId="0" fontId="34" fillId="0" borderId="0" xfId="0" applyFont="1"/>
    <xf numFmtId="0" fontId="12" fillId="0" borderId="0" xfId="9" applyFont="1" applyAlignment="1">
      <alignment horizontal="center" vertical="center" wrapText="1"/>
    </xf>
    <xf numFmtId="1" fontId="16" fillId="0" borderId="0" xfId="9" applyNumberFormat="1" applyFont="1" applyAlignment="1">
      <alignment horizontal="center" vertical="center" wrapText="1"/>
    </xf>
    <xf numFmtId="0" fontId="16" fillId="2" borderId="0" xfId="9" applyFont="1" applyFill="1" applyAlignment="1">
      <alignment horizontal="center" vertical="center" wrapText="1"/>
    </xf>
    <xf numFmtId="3" fontId="14" fillId="0" borderId="0" xfId="9" applyNumberFormat="1" applyFont="1" applyAlignment="1">
      <alignment horizontal="center" vertical="center" wrapText="1"/>
    </xf>
    <xf numFmtId="0" fontId="16" fillId="0" borderId="2" xfId="9" applyFont="1" applyBorder="1" applyAlignment="1">
      <alignment horizontal="center" vertical="center" wrapText="1"/>
    </xf>
    <xf numFmtId="3" fontId="16" fillId="6" borderId="2" xfId="0" applyNumberFormat="1" applyFont="1" applyFill="1" applyBorder="1" applyAlignment="1">
      <alignment horizontal="center" vertical="center" wrapText="1"/>
    </xf>
    <xf numFmtId="4" fontId="6" fillId="0" borderId="2" xfId="0" applyNumberFormat="1" applyFont="1" applyBorder="1" applyAlignment="1">
      <alignment horizontal="center"/>
    </xf>
    <xf numFmtId="0" fontId="6" fillId="0" borderId="2" xfId="0" applyFont="1" applyBorder="1" applyAlignment="1">
      <alignment horizontal="center" vertical="center" wrapText="1"/>
    </xf>
    <xf numFmtId="9" fontId="6" fillId="0" borderId="0" xfId="16" applyFont="1"/>
    <xf numFmtId="0" fontId="5" fillId="0" borderId="2" xfId="0" applyFont="1" applyBorder="1" applyAlignment="1">
      <alignment horizontal="center" vertical="center"/>
    </xf>
    <xf numFmtId="0" fontId="35" fillId="0" borderId="0" xfId="0" applyFont="1"/>
    <xf numFmtId="168" fontId="6"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 fontId="6" fillId="0" borderId="2" xfId="0" applyNumberFormat="1" applyFont="1" applyBorder="1" applyAlignment="1">
      <alignment horizontal="center" vertical="center" wrapText="1"/>
    </xf>
    <xf numFmtId="167" fontId="6" fillId="0" borderId="2" xfId="10" applyNumberFormat="1" applyFont="1" applyFill="1" applyBorder="1" applyAlignment="1">
      <alignment horizontal="center" vertical="center" wrapText="1"/>
    </xf>
    <xf numFmtId="166" fontId="6" fillId="0" borderId="2" xfId="10" applyNumberFormat="1" applyFont="1" applyFill="1" applyBorder="1" applyAlignment="1">
      <alignment horizontal="center" vertical="center" wrapText="1"/>
    </xf>
    <xf numFmtId="41" fontId="6" fillId="0" borderId="2" xfId="10" applyFont="1" applyFill="1" applyBorder="1" applyAlignment="1">
      <alignment horizontal="center" vertical="center" wrapText="1"/>
    </xf>
    <xf numFmtId="0" fontId="36" fillId="0" borderId="2" xfId="0" applyFont="1" applyBorder="1" applyAlignment="1">
      <alignment horizontal="center" vertical="center" wrapText="1"/>
    </xf>
    <xf numFmtId="0" fontId="5" fillId="0" borderId="0" xfId="0" applyFont="1" applyAlignment="1">
      <alignment horizontal="center" vertical="center" wrapText="1"/>
    </xf>
    <xf numFmtId="178" fontId="6" fillId="0" borderId="2" xfId="23" applyNumberFormat="1" applyFont="1" applyFill="1" applyBorder="1" applyAlignment="1">
      <alignment horizontal="center" vertical="center" wrapText="1"/>
    </xf>
    <xf numFmtId="178" fontId="6" fillId="0" borderId="0" xfId="23" applyNumberFormat="1" applyFont="1" applyAlignment="1">
      <alignment horizontal="center" vertical="center" wrapText="1"/>
    </xf>
    <xf numFmtId="171" fontId="6" fillId="0" borderId="0" xfId="0" applyNumberFormat="1" applyFont="1" applyAlignment="1">
      <alignment horizontal="center" vertical="center" wrapText="1"/>
    </xf>
    <xf numFmtId="171" fontId="3" fillId="0" borderId="2" xfId="23" applyNumberFormat="1" applyFont="1" applyFill="1" applyBorder="1" applyAlignment="1">
      <alignment horizontal="center" vertical="center" wrapText="1"/>
    </xf>
    <xf numFmtId="0" fontId="9" fillId="0" borderId="3" xfId="0" applyFont="1" applyBorder="1" applyAlignment="1">
      <alignment horizontal="center" vertical="center" wrapText="1"/>
    </xf>
    <xf numFmtId="43" fontId="10" fillId="0" borderId="3" xfId="23" applyFont="1" applyFill="1" applyBorder="1" applyAlignment="1">
      <alignment horizontal="center" vertical="center" wrapText="1"/>
    </xf>
    <xf numFmtId="0" fontId="9" fillId="0" borderId="13" xfId="0" applyFont="1" applyBorder="1" applyAlignment="1">
      <alignment horizontal="center" vertical="center" wrapText="1"/>
    </xf>
    <xf numFmtId="171" fontId="6" fillId="0" borderId="14" xfId="23" applyNumberFormat="1" applyFont="1" applyFill="1" applyBorder="1" applyAlignment="1">
      <alignment horizontal="center" vertical="center" wrapText="1"/>
    </xf>
    <xf numFmtId="0" fontId="6" fillId="0" borderId="0" xfId="1" applyFont="1" applyAlignment="1">
      <alignment vertical="center" wrapText="1"/>
    </xf>
    <xf numFmtId="0" fontId="37" fillId="0" borderId="0" xfId="0" applyFont="1"/>
    <xf numFmtId="0" fontId="6" fillId="0" borderId="2" xfId="0" applyFont="1" applyBorder="1" applyAlignment="1">
      <alignment horizontal="left" vertical="center" wrapText="1"/>
    </xf>
    <xf numFmtId="3" fontId="6" fillId="0" borderId="2"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6" fillId="0" borderId="0" xfId="4" applyFont="1" applyAlignment="1">
      <alignment horizontal="center" vertical="center" wrapText="1"/>
    </xf>
    <xf numFmtId="0" fontId="5" fillId="0" borderId="2" xfId="25" applyFont="1" applyBorder="1" applyAlignment="1">
      <alignment horizontal="center" vertical="center" wrapText="1"/>
    </xf>
    <xf numFmtId="0" fontId="5" fillId="0" borderId="0" xfId="4" applyFont="1" applyAlignment="1">
      <alignment horizontal="center" vertical="center" wrapText="1"/>
    </xf>
    <xf numFmtId="3" fontId="3" fillId="0" borderId="2" xfId="25" applyNumberFormat="1" applyFont="1" applyBorder="1" applyAlignment="1">
      <alignment horizontal="center" vertical="center" wrapText="1"/>
    </xf>
    <xf numFmtId="3" fontId="6" fillId="0" borderId="2" xfId="25" applyNumberFormat="1" applyFont="1" applyBorder="1" applyAlignment="1">
      <alignment horizontal="center" vertical="center" wrapText="1"/>
    </xf>
    <xf numFmtId="0" fontId="6" fillId="0" borderId="0" xfId="25" applyFont="1" applyAlignment="1">
      <alignment horizontal="center" vertical="center" wrapText="1"/>
    </xf>
    <xf numFmtId="0" fontId="6" fillId="0" borderId="2" xfId="25" applyFont="1" applyBorder="1" applyAlignment="1">
      <alignment horizontal="left" vertical="center" wrapText="1"/>
    </xf>
    <xf numFmtId="0" fontId="6" fillId="0" borderId="2" xfId="0" applyFont="1" applyBorder="1" applyAlignment="1">
      <alignment horizontal="center" vertical="center"/>
    </xf>
    <xf numFmtId="0" fontId="26" fillId="0" borderId="2" xfId="9" applyFont="1" applyBorder="1" applyAlignment="1">
      <alignment horizontal="left" vertical="center" wrapText="1"/>
    </xf>
    <xf numFmtId="1" fontId="2" fillId="0" borderId="2" xfId="9" applyNumberFormat="1" applyFont="1" applyBorder="1"/>
    <xf numFmtId="3" fontId="15" fillId="0" borderId="0" xfId="9" applyNumberFormat="1" applyFont="1" applyAlignment="1">
      <alignment horizontal="center" vertical="center"/>
    </xf>
    <xf numFmtId="3" fontId="13" fillId="0" borderId="0" xfId="9" applyNumberFormat="1" applyFont="1" applyAlignment="1">
      <alignment horizontal="center" vertical="center"/>
    </xf>
    <xf numFmtId="3" fontId="13" fillId="2" borderId="0" xfId="9" applyNumberFormat="1" applyFont="1" applyFill="1" applyAlignment="1">
      <alignment horizontal="center" vertical="center"/>
    </xf>
    <xf numFmtId="0" fontId="12" fillId="0" borderId="0" xfId="1" applyFont="1" applyAlignment="1">
      <alignment horizontal="left" vertical="center" wrapText="1"/>
    </xf>
    <xf numFmtId="3" fontId="14" fillId="0" borderId="0" xfId="0" applyNumberFormat="1" applyFont="1"/>
    <xf numFmtId="172" fontId="3" fillId="0" borderId="0" xfId="14" applyNumberFormat="1" applyFont="1" applyBorder="1" applyAlignment="1">
      <alignment horizontal="center"/>
    </xf>
    <xf numFmtId="167" fontId="8" fillId="0" borderId="0" xfId="10" applyNumberFormat="1" applyFont="1" applyBorder="1"/>
    <xf numFmtId="3" fontId="3" fillId="0" borderId="0" xfId="25" applyNumberFormat="1" applyFont="1" applyAlignment="1">
      <alignment horizontal="center" vertical="center" wrapText="1"/>
    </xf>
    <xf numFmtId="0" fontId="25" fillId="0" borderId="0" xfId="25" applyFont="1" applyAlignment="1">
      <alignment horizontal="left" vertical="center" wrapText="1"/>
    </xf>
    <xf numFmtId="0" fontId="6" fillId="0" borderId="10" xfId="4" applyFont="1" applyBorder="1" applyAlignment="1">
      <alignment horizontal="left" vertical="center" wrapText="1"/>
    </xf>
    <xf numFmtId="10" fontId="6" fillId="0" borderId="10" xfId="4" applyNumberFormat="1" applyFont="1" applyBorder="1" applyAlignment="1">
      <alignment horizontal="center" vertical="center" wrapText="1"/>
    </xf>
    <xf numFmtId="0" fontId="5" fillId="6" borderId="15" xfId="4" applyFont="1" applyFill="1" applyBorder="1" applyAlignment="1">
      <alignment horizontal="left" vertical="center" wrapText="1"/>
    </xf>
    <xf numFmtId="3" fontId="5" fillId="6" borderId="16" xfId="4" applyNumberFormat="1" applyFont="1" applyFill="1" applyBorder="1" applyAlignment="1">
      <alignment horizontal="center" vertical="center" wrapText="1"/>
    </xf>
    <xf numFmtId="3" fontId="5" fillId="0" borderId="21" xfId="9" applyNumberFormat="1" applyFont="1" applyBorder="1" applyAlignment="1">
      <alignment vertical="center" wrapText="1"/>
    </xf>
    <xf numFmtId="41" fontId="5" fillId="6" borderId="24" xfId="0" applyNumberFormat="1" applyFont="1" applyFill="1" applyBorder="1" applyAlignment="1">
      <alignment horizontal="center" vertical="center" wrapText="1"/>
    </xf>
    <xf numFmtId="0" fontId="9" fillId="6" borderId="13" xfId="0" applyFont="1" applyFill="1" applyBorder="1" applyAlignment="1">
      <alignment horizontal="center" vertical="center" wrapText="1"/>
    </xf>
    <xf numFmtId="164" fontId="10" fillId="6" borderId="14"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6" fillId="0" borderId="3" xfId="0" applyFont="1" applyBorder="1" applyAlignment="1">
      <alignment horizontal="center"/>
    </xf>
    <xf numFmtId="0" fontId="2" fillId="6" borderId="13" xfId="0" applyFont="1" applyFill="1" applyBorder="1" applyAlignment="1">
      <alignment horizontal="center" vertical="center" wrapText="1"/>
    </xf>
    <xf numFmtId="3" fontId="6" fillId="6" borderId="14" xfId="0" applyNumberFormat="1" applyFont="1" applyFill="1" applyBorder="1" applyAlignment="1">
      <alignment horizontal="center"/>
    </xf>
    <xf numFmtId="0" fontId="5" fillId="3" borderId="8" xfId="0" applyFont="1" applyFill="1" applyBorder="1" applyAlignment="1">
      <alignment horizontal="center" vertical="center" wrapText="1"/>
    </xf>
    <xf numFmtId="0" fontId="5" fillId="3" borderId="2" xfId="0" applyFont="1" applyFill="1" applyBorder="1" applyAlignment="1">
      <alignment horizontal="center" vertical="center" wrapText="1"/>
    </xf>
    <xf numFmtId="3" fontId="5" fillId="0" borderId="2" xfId="0" applyNumberFormat="1" applyFont="1" applyBorder="1" applyAlignment="1">
      <alignment horizontal="center" vertical="center" wrapText="1"/>
    </xf>
    <xf numFmtId="3" fontId="2" fillId="0" borderId="2" xfId="0" applyNumberFormat="1" applyFont="1" applyBorder="1" applyAlignment="1">
      <alignment horizontal="center" vertical="center" wrapText="1"/>
    </xf>
    <xf numFmtId="9" fontId="5" fillId="0" borderId="0" xfId="16" applyFont="1" applyFill="1" applyAlignment="1">
      <alignment horizontal="center" vertical="center" wrapText="1"/>
    </xf>
    <xf numFmtId="164" fontId="10" fillId="6" borderId="2" xfId="0" applyNumberFormat="1" applyFont="1" applyFill="1" applyBorder="1" applyAlignment="1">
      <alignment horizontal="center" vertical="center" wrapText="1"/>
    </xf>
    <xf numFmtId="0" fontId="2" fillId="6" borderId="2" xfId="0" applyFont="1" applyFill="1" applyBorder="1"/>
    <xf numFmtId="0" fontId="15" fillId="6" borderId="2" xfId="17" applyFont="1" applyFill="1" applyBorder="1" applyAlignment="1">
      <alignment horizontal="center" vertical="center" wrapText="1"/>
    </xf>
    <xf numFmtId="10" fontId="15" fillId="6" borderId="2" xfId="17" applyNumberFormat="1" applyFont="1" applyFill="1" applyBorder="1" applyAlignment="1">
      <alignment horizontal="center" vertical="center" wrapText="1"/>
    </xf>
    <xf numFmtId="3" fontId="11" fillId="6" borderId="8" xfId="18" applyNumberFormat="1" applyFont="1" applyFill="1" applyBorder="1" applyAlignment="1">
      <alignment horizontal="center"/>
    </xf>
    <xf numFmtId="0" fontId="5" fillId="0" borderId="0" xfId="9" applyFont="1"/>
    <xf numFmtId="4" fontId="1" fillId="0" borderId="2" xfId="24" applyNumberFormat="1" applyBorder="1" applyAlignment="1">
      <alignment horizontal="center" vertical="center" wrapText="1"/>
    </xf>
    <xf numFmtId="4" fontId="17" fillId="0" borderId="2" xfId="24" applyNumberFormat="1" applyFont="1" applyBorder="1" applyAlignment="1">
      <alignment horizontal="center" vertical="center" wrapText="1"/>
    </xf>
    <xf numFmtId="0" fontId="1" fillId="0" borderId="0" xfId="24" applyAlignment="1">
      <alignment horizontal="center" vertical="center" wrapText="1"/>
    </xf>
    <xf numFmtId="4" fontId="1" fillId="0" borderId="0" xfId="24" applyNumberFormat="1" applyAlignment="1">
      <alignment horizontal="center" vertical="center" wrapText="1"/>
    </xf>
    <xf numFmtId="4" fontId="1" fillId="0" borderId="0" xfId="24" applyNumberFormat="1"/>
    <xf numFmtId="0" fontId="0" fillId="0" borderId="0" xfId="24" applyFont="1" applyAlignment="1">
      <alignment horizontal="center" vertical="center" wrapText="1"/>
    </xf>
    <xf numFmtId="0" fontId="5" fillId="0" borderId="2" xfId="9" applyFont="1" applyBorder="1" applyAlignment="1">
      <alignment horizontal="center"/>
    </xf>
    <xf numFmtId="0" fontId="6" fillId="0" borderId="0" xfId="0" applyFont="1" applyAlignment="1">
      <alignment horizontal="center" vertical="center"/>
    </xf>
    <xf numFmtId="172" fontId="6" fillId="0" borderId="2" xfId="14" applyNumberFormat="1" applyFont="1" applyBorder="1" applyAlignment="1">
      <alignment horizontal="center" vertical="center" wrapText="1"/>
    </xf>
    <xf numFmtId="172" fontId="6" fillId="0" borderId="2" xfId="14" applyNumberFormat="1" applyFont="1" applyFill="1" applyBorder="1" applyAlignment="1">
      <alignment horizontal="center" vertical="center" wrapText="1"/>
    </xf>
    <xf numFmtId="172" fontId="5" fillId="0" borderId="2" xfId="14" applyNumberFormat="1" applyFont="1" applyBorder="1" applyAlignment="1">
      <alignment horizontal="center" vertical="center" wrapText="1"/>
    </xf>
    <xf numFmtId="174" fontId="5" fillId="0" borderId="2" xfId="0" applyNumberFormat="1" applyFont="1" applyBorder="1" applyAlignment="1">
      <alignment horizontal="center" vertical="center" wrapText="1"/>
    </xf>
    <xf numFmtId="172" fontId="3" fillId="0" borderId="2" xfId="14" applyNumberFormat="1" applyFont="1" applyBorder="1" applyAlignment="1">
      <alignment horizontal="center" vertical="center" wrapText="1"/>
    </xf>
    <xf numFmtId="0" fontId="3" fillId="0" borderId="0" xfId="0" applyFont="1" applyAlignment="1">
      <alignment horizontal="center" vertical="center" wrapText="1"/>
    </xf>
    <xf numFmtId="172" fontId="3" fillId="0" borderId="2" xfId="14" applyNumberFormat="1" applyFont="1" applyFill="1" applyBorder="1" applyAlignment="1">
      <alignment horizontal="center" vertical="center" wrapText="1"/>
    </xf>
    <xf numFmtId="10" fontId="6" fillId="0" borderId="0" xfId="16" applyNumberFormat="1" applyFont="1" applyFill="1" applyBorder="1" applyAlignment="1">
      <alignment horizontal="center" vertical="center" wrapText="1"/>
    </xf>
    <xf numFmtId="164" fontId="6" fillId="0" borderId="0" xfId="0" applyNumberFormat="1" applyFont="1" applyAlignment="1">
      <alignment horizontal="center" vertical="center" wrapText="1"/>
    </xf>
    <xf numFmtId="174"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9" fontId="8" fillId="0" borderId="2" xfId="16" applyFont="1" applyFill="1" applyBorder="1" applyAlignment="1">
      <alignment horizontal="center" vertical="center" wrapText="1"/>
    </xf>
    <xf numFmtId="0" fontId="5" fillId="5" borderId="2" xfId="0" applyFont="1" applyFill="1" applyBorder="1" applyAlignment="1">
      <alignment horizontal="center" vertical="center" wrapText="1"/>
    </xf>
    <xf numFmtId="0" fontId="38" fillId="0" borderId="2" xfId="0" applyFont="1" applyBorder="1" applyAlignment="1">
      <alignment horizontal="left" vertical="center" wrapText="1"/>
    </xf>
    <xf numFmtId="0" fontId="5" fillId="0" borderId="3"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8" xfId="0" applyFont="1" applyBorder="1" applyAlignment="1">
      <alignment horizontal="center" vertical="center" wrapText="1"/>
    </xf>
    <xf numFmtId="166" fontId="6" fillId="0" borderId="2" xfId="10" applyNumberFormat="1" applyFont="1" applyBorder="1" applyAlignment="1">
      <alignment horizontal="center" vertical="center" wrapText="1"/>
    </xf>
    <xf numFmtId="166" fontId="6" fillId="0" borderId="3" xfId="10" applyNumberFormat="1" applyFont="1" applyBorder="1" applyAlignment="1">
      <alignment horizontal="center" vertical="center" wrapText="1"/>
    </xf>
    <xf numFmtId="41" fontId="6" fillId="0" borderId="14" xfId="10" applyFont="1" applyFill="1" applyBorder="1" applyAlignment="1">
      <alignment horizontal="center" vertical="center" wrapText="1"/>
    </xf>
    <xf numFmtId="41" fontId="6" fillId="0" borderId="8" xfId="10" applyFont="1" applyBorder="1" applyAlignment="1">
      <alignment horizontal="center" vertical="center" wrapText="1"/>
    </xf>
    <xf numFmtId="1" fontId="6" fillId="0" borderId="2" xfId="0" applyNumberFormat="1" applyFont="1" applyBorder="1" applyAlignment="1">
      <alignment horizontal="left" vertical="center" wrapText="1"/>
    </xf>
    <xf numFmtId="167" fontId="6" fillId="0" borderId="2" xfId="10" applyNumberFormat="1" applyFont="1" applyBorder="1" applyAlignment="1">
      <alignment horizontal="center" vertical="center" wrapText="1"/>
    </xf>
    <xf numFmtId="0" fontId="6" fillId="0" borderId="0" xfId="0" applyFont="1" applyAlignment="1">
      <alignment horizontal="left" vertical="center" wrapText="1"/>
    </xf>
    <xf numFmtId="166" fontId="6" fillId="0" borderId="0" xfId="10" applyNumberFormat="1" applyFont="1" applyFill="1" applyBorder="1" applyAlignment="1">
      <alignment horizontal="center"/>
    </xf>
    <xf numFmtId="166" fontId="6" fillId="0" borderId="0" xfId="10" applyNumberFormat="1" applyFont="1" applyFill="1" applyBorder="1"/>
    <xf numFmtId="166" fontId="6" fillId="0" borderId="0" xfId="10" applyNumberFormat="1" applyFont="1" applyFill="1" applyBorder="1" applyAlignment="1">
      <alignment horizontal="center" vertical="center" wrapText="1"/>
    </xf>
    <xf numFmtId="166" fontId="6" fillId="0" borderId="0" xfId="10" applyNumberFormat="1" applyFont="1" applyBorder="1" applyAlignment="1">
      <alignment horizontal="center" vertical="center" wrapText="1"/>
    </xf>
    <xf numFmtId="41" fontId="6" fillId="0" borderId="2" xfId="10" applyFont="1" applyBorder="1" applyAlignment="1">
      <alignment horizontal="center" vertical="center" wrapText="1"/>
    </xf>
    <xf numFmtId="0" fontId="5" fillId="0" borderId="2" xfId="9" applyFont="1" applyBorder="1" applyAlignment="1">
      <alignment horizontal="center" vertical="center" wrapText="1"/>
    </xf>
    <xf numFmtId="0" fontId="5" fillId="0" borderId="3" xfId="9" applyFont="1" applyBorder="1" applyAlignment="1">
      <alignment horizontal="center" vertical="center" wrapText="1"/>
    </xf>
    <xf numFmtId="0" fontId="5" fillId="0" borderId="13" xfId="9" applyFont="1" applyBorder="1" applyAlignment="1">
      <alignment horizontal="center" vertical="center" wrapText="1"/>
    </xf>
    <xf numFmtId="3" fontId="6" fillId="0" borderId="3" xfId="9" applyNumberFormat="1" applyFont="1" applyBorder="1" applyAlignment="1">
      <alignment horizontal="center" vertical="center" wrapText="1"/>
    </xf>
    <xf numFmtId="3" fontId="6" fillId="0" borderId="14" xfId="9" applyNumberFormat="1" applyFont="1" applyBorder="1" applyAlignment="1">
      <alignment horizontal="center" vertical="center" wrapText="1"/>
    </xf>
    <xf numFmtId="10" fontId="6" fillId="0" borderId="2" xfId="16" applyNumberFormat="1" applyFont="1" applyFill="1" applyBorder="1" applyAlignment="1">
      <alignment horizontal="center" vertical="center" wrapText="1"/>
    </xf>
    <xf numFmtId="9" fontId="6" fillId="0" borderId="2" xfId="16" applyFont="1" applyFill="1" applyBorder="1" applyAlignment="1">
      <alignment horizontal="center" vertical="center" wrapText="1"/>
    </xf>
    <xf numFmtId="175" fontId="5" fillId="0" borderId="2"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9" fontId="6" fillId="0" borderId="0" xfId="16" applyFont="1" applyFill="1" applyBorder="1" applyAlignment="1">
      <alignment horizontal="center" vertical="center" wrapText="1"/>
    </xf>
    <xf numFmtId="0" fontId="26" fillId="0" borderId="0" xfId="26" applyFont="1" applyAlignment="1">
      <alignment vertical="center" wrapText="1"/>
    </xf>
    <xf numFmtId="1" fontId="26" fillId="0" borderId="0" xfId="26" applyNumberFormat="1" applyFont="1" applyAlignment="1">
      <alignment vertical="center" wrapText="1"/>
    </xf>
    <xf numFmtId="0" fontId="41" fillId="0" borderId="2" xfId="0" applyFont="1" applyBorder="1" applyAlignment="1">
      <alignment horizontal="center" vertical="center"/>
    </xf>
    <xf numFmtId="0" fontId="41" fillId="0" borderId="2" xfId="0" applyFont="1" applyBorder="1" applyAlignment="1">
      <alignment vertical="center"/>
    </xf>
    <xf numFmtId="0" fontId="42" fillId="0" borderId="2" xfId="0" applyFont="1" applyBorder="1" applyAlignment="1">
      <alignment horizontal="left" vertical="center"/>
    </xf>
    <xf numFmtId="0" fontId="42" fillId="0" borderId="2" xfId="0" applyFont="1" applyBorder="1" applyAlignment="1">
      <alignment horizontal="center" vertical="center" wrapText="1"/>
    </xf>
    <xf numFmtId="3" fontId="42" fillId="0" borderId="2" xfId="0" applyNumberFormat="1" applyFont="1" applyBorder="1" applyAlignment="1">
      <alignment horizontal="center" vertical="center" wrapText="1"/>
    </xf>
    <xf numFmtId="3" fontId="41" fillId="0" borderId="2" xfId="0" applyNumberFormat="1" applyFont="1" applyBorder="1" applyAlignment="1">
      <alignment vertical="center"/>
    </xf>
    <xf numFmtId="3" fontId="41" fillId="0" borderId="2" xfId="0" applyNumberFormat="1" applyFont="1" applyBorder="1" applyAlignment="1">
      <alignment horizontal="center" vertical="center" wrapText="1"/>
    </xf>
    <xf numFmtId="0" fontId="25" fillId="0" borderId="0" xfId="0" applyFont="1" applyAlignment="1">
      <alignment wrapText="1"/>
    </xf>
    <xf numFmtId="3" fontId="0" fillId="0" borderId="0" xfId="0" applyNumberFormat="1"/>
    <xf numFmtId="3" fontId="0" fillId="0" borderId="2" xfId="0" applyNumberFormat="1" applyBorder="1"/>
    <xf numFmtId="0" fontId="26" fillId="0" borderId="0" xfId="0" applyFont="1" applyAlignment="1">
      <alignment wrapText="1"/>
    </xf>
    <xf numFmtId="0" fontId="26" fillId="0" borderId="2" xfId="0" applyFont="1" applyBorder="1" applyAlignment="1">
      <alignment horizontal="center" vertical="center" wrapText="1"/>
    </xf>
    <xf numFmtId="0" fontId="0" fillId="0" borderId="2" xfId="0" applyBorder="1"/>
    <xf numFmtId="0" fontId="17" fillId="0" borderId="0" xfId="0" applyFont="1"/>
    <xf numFmtId="0" fontId="25" fillId="0" borderId="2" xfId="0" applyFont="1" applyBorder="1" applyAlignment="1">
      <alignment horizontal="center" wrapText="1"/>
    </xf>
    <xf numFmtId="0" fontId="0" fillId="0" borderId="2" xfId="0" applyBorder="1" applyAlignment="1">
      <alignment horizontal="center"/>
    </xf>
    <xf numFmtId="0" fontId="44" fillId="0" borderId="2" xfId="0" applyFont="1" applyBorder="1" applyAlignment="1">
      <alignment horizontal="center" vertical="center" wrapText="1"/>
    </xf>
    <xf numFmtId="0" fontId="45" fillId="0" borderId="2" xfId="0" applyFont="1" applyBorder="1" applyAlignment="1">
      <alignment horizontal="center" wrapText="1"/>
    </xf>
    <xf numFmtId="3" fontId="25" fillId="0" borderId="2" xfId="0" applyNumberFormat="1" applyFont="1" applyBorder="1" applyAlignment="1">
      <alignment horizontal="center" wrapText="1"/>
    </xf>
    <xf numFmtId="4" fontId="6" fillId="0" borderId="2" xfId="0" applyNumberFormat="1" applyFont="1" applyBorder="1" applyAlignment="1">
      <alignment horizontal="center" vertical="center" wrapText="1"/>
    </xf>
    <xf numFmtId="0" fontId="0" fillId="0" borderId="0" xfId="0" applyAlignment="1">
      <alignment horizontal="center" vertical="center" wrapText="1"/>
    </xf>
    <xf numFmtId="0" fontId="46" fillId="0" borderId="0" xfId="0" applyFont="1"/>
    <xf numFmtId="0" fontId="40" fillId="0" borderId="0" xfId="0" applyFont="1"/>
    <xf numFmtId="0" fontId="40" fillId="0" borderId="0" xfId="0" applyFont="1" applyAlignment="1">
      <alignment horizontal="center" vertical="center" wrapText="1"/>
    </xf>
    <xf numFmtId="0" fontId="41" fillId="0" borderId="2" xfId="0" applyFont="1" applyBorder="1" applyAlignment="1">
      <alignment horizontal="center" vertical="center" wrapText="1"/>
    </xf>
    <xf numFmtId="0" fontId="42" fillId="0" borderId="2" xfId="0" applyFont="1" applyBorder="1" applyAlignment="1">
      <alignment horizontal="left" vertical="center" wrapText="1"/>
    </xf>
    <xf numFmtId="0" fontId="41" fillId="0" borderId="2" xfId="0" applyFont="1" applyBorder="1" applyAlignment="1">
      <alignment horizontal="left" vertical="center" wrapText="1"/>
    </xf>
    <xf numFmtId="0" fontId="39" fillId="0" borderId="2" xfId="0" applyFont="1" applyBorder="1" applyAlignment="1">
      <alignment horizontal="left" vertical="center" wrapText="1"/>
    </xf>
    <xf numFmtId="0" fontId="3" fillId="0" borderId="2" xfId="0" applyFont="1" applyBorder="1" applyAlignment="1">
      <alignment horizontal="center" vertical="center"/>
    </xf>
    <xf numFmtId="3" fontId="3" fillId="0" borderId="2" xfId="0" applyNumberFormat="1" applyFont="1" applyBorder="1" applyAlignment="1">
      <alignment horizontal="center" vertical="center" wrapText="1"/>
    </xf>
    <xf numFmtId="0" fontId="21" fillId="0" borderId="0" xfId="1" applyFont="1" applyAlignment="1">
      <alignment horizontal="left" vertical="center"/>
    </xf>
    <xf numFmtId="0" fontId="47" fillId="0" borderId="0" xfId="9" applyFont="1"/>
    <xf numFmtId="3" fontId="6" fillId="0" borderId="28" xfId="0" applyNumberFormat="1" applyFont="1" applyBorder="1" applyAlignment="1">
      <alignment horizontal="center" vertical="center" wrapText="1"/>
    </xf>
    <xf numFmtId="0" fontId="6" fillId="0" borderId="28" xfId="0" applyFont="1" applyBorder="1" applyAlignment="1">
      <alignment horizontal="center" vertical="center" wrapText="1"/>
    </xf>
    <xf numFmtId="0" fontId="6" fillId="7" borderId="25" xfId="0" applyFont="1" applyFill="1" applyBorder="1" applyAlignment="1">
      <alignment horizontal="center" vertical="center" wrapText="1"/>
    </xf>
    <xf numFmtId="0" fontId="6" fillId="7" borderId="26" xfId="0" applyFont="1" applyFill="1" applyBorder="1" applyAlignment="1">
      <alignment horizontal="center" vertical="center" wrapText="1"/>
    </xf>
    <xf numFmtId="9" fontId="6" fillId="0" borderId="27" xfId="0" applyNumberFormat="1" applyFont="1" applyBorder="1" applyAlignment="1">
      <alignment horizontal="center" vertical="center" wrapText="1"/>
    </xf>
    <xf numFmtId="172" fontId="25" fillId="0" borderId="0" xfId="14" applyNumberFormat="1" applyFont="1" applyAlignment="1">
      <alignment wrapText="1"/>
    </xf>
    <xf numFmtId="0" fontId="42" fillId="0" borderId="0" xfId="0" applyFont="1" applyAlignment="1">
      <alignment horizontal="left" vertical="center" wrapText="1"/>
    </xf>
    <xf numFmtId="172" fontId="0" fillId="0" borderId="2" xfId="14" applyNumberFormat="1" applyFont="1" applyBorder="1"/>
    <xf numFmtId="172" fontId="0" fillId="0" borderId="0" xfId="14" applyNumberFormat="1" applyFont="1"/>
    <xf numFmtId="172" fontId="0" fillId="0" borderId="0" xfId="14" applyNumberFormat="1" applyFont="1" applyAlignment="1">
      <alignment horizontal="center" vertical="center"/>
    </xf>
    <xf numFmtId="0" fontId="41" fillId="0" borderId="3" xfId="0" applyFont="1" applyBorder="1" applyAlignment="1">
      <alignment horizontal="center" vertical="center" wrapText="1"/>
    </xf>
    <xf numFmtId="172" fontId="0" fillId="0" borderId="3" xfId="14" applyNumberFormat="1" applyFont="1" applyBorder="1"/>
    <xf numFmtId="0" fontId="41" fillId="0" borderId="0" xfId="0" applyFont="1" applyAlignment="1">
      <alignment horizontal="center" vertical="center" wrapText="1"/>
    </xf>
    <xf numFmtId="172" fontId="0" fillId="0" borderId="7" xfId="14" applyNumberFormat="1" applyFont="1" applyBorder="1"/>
    <xf numFmtId="172" fontId="0" fillId="0" borderId="9" xfId="14" applyNumberFormat="1" applyFont="1" applyBorder="1"/>
    <xf numFmtId="0" fontId="5" fillId="3" borderId="1" xfId="0" applyFont="1" applyFill="1" applyBorder="1" applyAlignment="1">
      <alignment horizontal="center" vertical="center" wrapText="1"/>
    </xf>
    <xf numFmtId="0" fontId="25" fillId="0" borderId="0" xfId="0" applyFont="1" applyAlignment="1">
      <alignment vertical="center" wrapText="1"/>
    </xf>
    <xf numFmtId="0" fontId="25" fillId="0" borderId="0" xfId="26" applyFont="1" applyAlignment="1">
      <alignment vertical="center" wrapText="1"/>
    </xf>
    <xf numFmtId="0" fontId="6" fillId="0" borderId="0" xfId="0" applyFont="1" applyAlignment="1">
      <alignment horizontal="left" vertical="center" wrapText="1"/>
    </xf>
    <xf numFmtId="164" fontId="6" fillId="0" borderId="0" xfId="0" applyNumberFormat="1" applyFont="1" applyAlignment="1">
      <alignment horizontal="center" vertical="center" wrapText="1"/>
    </xf>
    <xf numFmtId="0" fontId="5" fillId="5" borderId="2" xfId="0" applyFont="1" applyFill="1" applyBorder="1" applyAlignment="1">
      <alignment horizontal="center" vertical="center" wrapText="1"/>
    </xf>
    <xf numFmtId="0" fontId="19" fillId="0" borderId="0" xfId="0" applyFont="1" applyAlignment="1">
      <alignment horizontal="left"/>
    </xf>
    <xf numFmtId="0" fontId="13" fillId="0" borderId="0" xfId="9" applyFont="1" applyAlignment="1">
      <alignment horizontal="center" vertical="center" wrapText="1"/>
    </xf>
    <xf numFmtId="0" fontId="16" fillId="0" borderId="1" xfId="0" applyFont="1" applyBorder="1" applyAlignment="1">
      <alignment horizontal="center" vertical="center" wrapText="1"/>
    </xf>
    <xf numFmtId="0" fontId="21" fillId="0" borderId="0" xfId="0" applyFont="1" applyAlignment="1">
      <alignment horizontal="left" vertical="center" wrapText="1"/>
    </xf>
    <xf numFmtId="0" fontId="26" fillId="0" borderId="2" xfId="0" applyFont="1" applyBorder="1" applyAlignment="1">
      <alignment horizontal="center" vertical="center" wrapText="1"/>
    </xf>
    <xf numFmtId="0" fontId="0" fillId="0" borderId="9" xfId="0" applyBorder="1" applyAlignment="1">
      <alignment horizontal="left" vertical="center" wrapText="1"/>
    </xf>
    <xf numFmtId="0" fontId="21" fillId="0" borderId="0" xfId="1" applyFont="1" applyAlignment="1">
      <alignment horizontal="left" vertical="center" wrapText="1"/>
    </xf>
    <xf numFmtId="164" fontId="6" fillId="0" borderId="0" xfId="1" applyNumberFormat="1" applyFont="1" applyAlignment="1">
      <alignment horizontal="center" vertical="center" wrapText="1"/>
    </xf>
    <xf numFmtId="0" fontId="6" fillId="0" borderId="9" xfId="1" applyFont="1" applyBorder="1" applyAlignment="1">
      <alignment horizontal="left" vertical="center" wrapText="1"/>
    </xf>
    <xf numFmtId="0" fontId="6" fillId="0" borderId="9" xfId="1" applyFont="1" applyBorder="1" applyAlignment="1">
      <alignment horizontal="center" vertical="center" wrapText="1"/>
    </xf>
    <xf numFmtId="0" fontId="5" fillId="0" borderId="2" xfId="1" applyFont="1" applyBorder="1" applyAlignment="1">
      <alignment horizontal="center" vertical="center" wrapText="1"/>
    </xf>
    <xf numFmtId="0" fontId="9" fillId="0" borderId="2" xfId="0" applyFont="1" applyBorder="1" applyAlignment="1">
      <alignment horizontal="center" vertical="center" wrapText="1"/>
    </xf>
    <xf numFmtId="0" fontId="9" fillId="6" borderId="10" xfId="0" applyFont="1" applyFill="1" applyBorder="1" applyAlignment="1">
      <alignment horizontal="center" vertical="center" wrapText="1"/>
    </xf>
    <xf numFmtId="0" fontId="9" fillId="6" borderId="11" xfId="0" applyFont="1" applyFill="1" applyBorder="1" applyAlignment="1">
      <alignment horizontal="center" vertical="center" wrapText="1"/>
    </xf>
    <xf numFmtId="0" fontId="5" fillId="0" borderId="0" xfId="1" applyFont="1" applyAlignment="1">
      <alignment horizontal="left"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3" fillId="0" borderId="0" xfId="0" applyFont="1" applyAlignment="1">
      <alignment horizontal="left" vertical="center" wrapText="1"/>
    </xf>
    <xf numFmtId="0" fontId="3" fillId="0" borderId="2" xfId="0" applyFont="1" applyBorder="1" applyAlignment="1">
      <alignment horizontal="center" vertical="center" wrapText="1"/>
    </xf>
    <xf numFmtId="0" fontId="22" fillId="0" borderId="2" xfId="0" applyFont="1" applyBorder="1" applyAlignment="1">
      <alignment horizontal="center" vertical="center" wrapText="1"/>
    </xf>
    <xf numFmtId="171" fontId="3" fillId="0" borderId="2" xfId="7" applyNumberFormat="1"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1" xfId="0" applyFont="1" applyBorder="1" applyAlignment="1">
      <alignment horizontal="center" vertical="center" wrapText="1"/>
    </xf>
    <xf numFmtId="171" fontId="3" fillId="0" borderId="10" xfId="7" applyNumberFormat="1" applyFont="1" applyFill="1" applyBorder="1" applyAlignment="1">
      <alignment horizontal="center" vertical="center" wrapText="1"/>
    </xf>
    <xf numFmtId="171" fontId="3" fillId="0" borderId="12" xfId="7" applyNumberFormat="1" applyFont="1" applyFill="1" applyBorder="1" applyAlignment="1">
      <alignment horizontal="center" vertical="center" wrapText="1"/>
    </xf>
    <xf numFmtId="171" fontId="3" fillId="0" borderId="11" xfId="7" applyNumberFormat="1" applyFont="1" applyFill="1" applyBorder="1" applyAlignment="1">
      <alignment horizontal="center" vertical="center" wrapText="1"/>
    </xf>
    <xf numFmtId="3" fontId="2" fillId="0" borderId="2" xfId="0" applyNumberFormat="1" applyFont="1" applyBorder="1" applyAlignment="1">
      <alignment horizontal="center"/>
    </xf>
    <xf numFmtId="173" fontId="2" fillId="0" borderId="2" xfId="0" applyNumberFormat="1" applyFont="1" applyBorder="1" applyAlignment="1">
      <alignment horizontal="center"/>
    </xf>
    <xf numFmtId="3" fontId="2" fillId="6" borderId="2" xfId="0" applyNumberFormat="1" applyFont="1" applyFill="1" applyBorder="1" applyAlignment="1">
      <alignment horizontal="center"/>
    </xf>
    <xf numFmtId="0" fontId="2" fillId="0" borderId="1" xfId="0" applyFont="1" applyBorder="1" applyAlignment="1">
      <alignment horizontal="center" vertical="center" wrapText="1"/>
    </xf>
    <xf numFmtId="2" fontId="23" fillId="0" borderId="9" xfId="0" applyNumberFormat="1" applyFont="1" applyBorder="1" applyAlignment="1">
      <alignment horizontal="left" vertical="center" wrapText="1"/>
    </xf>
    <xf numFmtId="2" fontId="2" fillId="0" borderId="3"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0" fontId="12" fillId="0" borderId="2" xfId="9" applyFont="1" applyBorder="1" applyAlignment="1">
      <alignment horizontal="center" vertical="center" wrapText="1"/>
    </xf>
    <xf numFmtId="0" fontId="11" fillId="0" borderId="2" xfId="9" applyFont="1" applyBorder="1" applyAlignment="1">
      <alignment horizontal="center" vertical="center" wrapText="1"/>
    </xf>
    <xf numFmtId="0" fontId="13" fillId="0" borderId="0" xfId="0" applyFont="1" applyAlignment="1">
      <alignment horizontal="center" vertical="center"/>
    </xf>
    <xf numFmtId="0" fontId="11" fillId="0" borderId="9" xfId="1" applyFont="1" applyBorder="1" applyAlignment="1">
      <alignment horizontal="left" vertical="center" wrapText="1"/>
    </xf>
    <xf numFmtId="0" fontId="11" fillId="0" borderId="0" xfId="1" applyFont="1" applyAlignment="1">
      <alignment horizontal="left" vertical="center" wrapText="1"/>
    </xf>
    <xf numFmtId="0" fontId="41" fillId="0" borderId="2" xfId="0" applyFont="1" applyBorder="1" applyAlignment="1">
      <alignment horizontal="center" vertical="center"/>
    </xf>
    <xf numFmtId="0" fontId="5" fillId="0" borderId="2" xfId="9" applyFont="1" applyBorder="1" applyAlignment="1">
      <alignment horizontal="center"/>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20" xfId="9" applyFont="1" applyBorder="1" applyAlignment="1">
      <alignment horizontal="left" vertical="center" wrapText="1"/>
    </xf>
    <xf numFmtId="0" fontId="5" fillId="0" borderId="10" xfId="9" applyFont="1" applyBorder="1" applyAlignment="1">
      <alignment horizontal="left" vertical="center" wrapText="1"/>
    </xf>
    <xf numFmtId="0" fontId="5" fillId="6" borderId="22" xfId="0" applyFont="1" applyFill="1" applyBorder="1" applyAlignment="1">
      <alignment horizontal="center"/>
    </xf>
    <xf numFmtId="0" fontId="5" fillId="6" borderId="23" xfId="0" applyFont="1" applyFill="1" applyBorder="1" applyAlignment="1">
      <alignment horizontal="center"/>
    </xf>
    <xf numFmtId="0" fontId="5" fillId="0" borderId="0" xfId="9" applyFont="1" applyAlignment="1">
      <alignment horizontal="center"/>
    </xf>
    <xf numFmtId="0" fontId="6" fillId="0" borderId="2" xfId="9" applyFont="1" applyBorder="1" applyAlignment="1">
      <alignment horizontal="left" vertical="center" wrapText="1"/>
    </xf>
    <xf numFmtId="4" fontId="3" fillId="0" borderId="10" xfId="1" applyNumberFormat="1" applyFont="1" applyBorder="1" applyAlignment="1">
      <alignment horizontal="center" vertical="center" wrapText="1"/>
    </xf>
    <xf numFmtId="4" fontId="3" fillId="0" borderId="12" xfId="1" applyNumberFormat="1" applyFont="1" applyBorder="1" applyAlignment="1">
      <alignment horizontal="center" vertical="center" wrapText="1"/>
    </xf>
    <xf numFmtId="4" fontId="3" fillId="0" borderId="11" xfId="1" applyNumberFormat="1" applyFont="1" applyBorder="1" applyAlignment="1">
      <alignment horizontal="center" vertical="center" wrapText="1"/>
    </xf>
    <xf numFmtId="0" fontId="5" fillId="0" borderId="10" xfId="1" applyFont="1" applyBorder="1" applyAlignment="1">
      <alignment horizontal="center" vertical="center"/>
    </xf>
    <xf numFmtId="0" fontId="5" fillId="0" borderId="3" xfId="1" applyFont="1" applyBorder="1" applyAlignment="1">
      <alignment horizontal="center"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6" borderId="15" xfId="1" applyFont="1" applyFill="1" applyBorder="1" applyAlignment="1">
      <alignment horizontal="center" vertical="center"/>
    </xf>
    <xf numFmtId="0" fontId="5" fillId="6" borderId="17" xfId="1" applyFont="1" applyFill="1" applyBorder="1" applyAlignment="1">
      <alignment horizontal="center" vertical="center"/>
    </xf>
    <xf numFmtId="0" fontId="19" fillId="0" borderId="0" xfId="3" applyFont="1" applyAlignment="1">
      <alignment horizontal="left" vertical="center" wrapText="1"/>
    </xf>
    <xf numFmtId="0" fontId="16" fillId="0" borderId="10" xfId="3" applyFont="1" applyBorder="1" applyAlignment="1">
      <alignment horizontal="center" vertical="center" wrapText="1"/>
    </xf>
    <xf numFmtId="0" fontId="16" fillId="0" borderId="11" xfId="3" applyFont="1" applyBorder="1" applyAlignment="1">
      <alignment horizontal="center" vertical="center" wrapText="1"/>
    </xf>
    <xf numFmtId="0" fontId="12" fillId="0" borderId="3" xfId="4" applyFont="1" applyBorder="1" applyAlignment="1">
      <alignment horizontal="center" vertical="center" wrapText="1"/>
    </xf>
    <xf numFmtId="0" fontId="12" fillId="0" borderId="7" xfId="4" applyFont="1" applyBorder="1" applyAlignment="1">
      <alignment horizontal="center" vertical="center" wrapText="1"/>
    </xf>
    <xf numFmtId="0" fontId="12" fillId="0" borderId="8" xfId="4" applyFont="1" applyBorder="1" applyAlignment="1">
      <alignment horizontal="center" vertical="center" wrapText="1"/>
    </xf>
    <xf numFmtId="0" fontId="14" fillId="0" borderId="0" xfId="3" applyFont="1" applyAlignment="1">
      <alignment horizontal="left" vertical="center" wrapText="1"/>
    </xf>
    <xf numFmtId="0" fontId="16" fillId="6" borderId="4" xfId="3" applyFont="1" applyFill="1" applyBorder="1" applyAlignment="1">
      <alignment horizontal="center" vertical="center" wrapText="1"/>
    </xf>
    <xf numFmtId="0" fontId="16" fillId="6" borderId="6" xfId="3" applyFont="1" applyFill="1" applyBorder="1" applyAlignment="1">
      <alignment horizontal="center" vertical="center" wrapText="1"/>
    </xf>
    <xf numFmtId="169" fontId="11" fillId="6" borderId="18" xfId="3" applyNumberFormat="1" applyFont="1" applyFill="1" applyBorder="1" applyAlignment="1">
      <alignment horizontal="center" vertical="center" wrapText="1"/>
    </xf>
    <xf numFmtId="169" fontId="11" fillId="6" borderId="19" xfId="3" applyNumberFormat="1" applyFont="1" applyFill="1" applyBorder="1" applyAlignment="1">
      <alignment horizontal="center" vertical="center" wrapText="1"/>
    </xf>
    <xf numFmtId="0" fontId="14" fillId="0" borderId="9" xfId="3" applyFont="1" applyBorder="1" applyAlignment="1">
      <alignment horizontal="left" vertical="center" wrapText="1"/>
    </xf>
    <xf numFmtId="0" fontId="16" fillId="0" borderId="2" xfId="3" applyFont="1" applyBorder="1" applyAlignment="1">
      <alignment horizontal="center" vertical="center" wrapText="1"/>
    </xf>
    <xf numFmtId="0" fontId="14" fillId="0" borderId="10" xfId="3" applyFont="1" applyBorder="1" applyAlignment="1">
      <alignment horizontal="center" vertical="center" wrapText="1"/>
    </xf>
    <xf numFmtId="0" fontId="14" fillId="0" borderId="11" xfId="3" applyFont="1" applyBorder="1" applyAlignment="1">
      <alignment horizontal="center" vertical="center" wrapText="1"/>
    </xf>
    <xf numFmtId="0" fontId="5" fillId="0" borderId="2" xfId="0" applyFont="1" applyBorder="1" applyAlignment="1">
      <alignment horizontal="center" vertical="center" wrapText="1"/>
    </xf>
    <xf numFmtId="0" fontId="6" fillId="0" borderId="0" xfId="1" applyFont="1" applyAlignment="1">
      <alignment horizontal="center" vertical="center" wrapText="1"/>
    </xf>
    <xf numFmtId="0" fontId="12" fillId="0" borderId="2" xfId="17" applyFont="1" applyBorder="1" applyAlignment="1">
      <alignment horizontal="center" vertical="center" wrapText="1"/>
    </xf>
    <xf numFmtId="0" fontId="6" fillId="0" borderId="2" xfId="0" applyFont="1" applyBorder="1" applyAlignment="1">
      <alignment horizontal="center" vertical="center" wrapText="1"/>
    </xf>
    <xf numFmtId="0" fontId="5" fillId="0" borderId="2" xfId="0" applyFont="1" applyBorder="1" applyAlignment="1">
      <alignment horizontal="center" vertical="center" wrapText="1"/>
    </xf>
    <xf numFmtId="3" fontId="6"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172" fontId="6" fillId="0" borderId="2" xfId="14" applyNumberFormat="1" applyFont="1" applyFill="1" applyBorder="1" applyAlignment="1">
      <alignment horizontal="center" vertical="center" wrapText="1"/>
    </xf>
  </cellXfs>
  <cellStyles count="36">
    <cellStyle name="Hipervínculo 2" xfId="21" xr:uid="{00000000-0005-0000-0000-000000000000}"/>
    <cellStyle name="Millares" xfId="23" builtinId="3"/>
    <cellStyle name="Millares [0]" xfId="10" builtinId="6"/>
    <cellStyle name="Millares [0] 2" xfId="11" xr:uid="{00000000-0005-0000-0000-000003000000}"/>
    <cellStyle name="Millares [0] 2 2" xfId="12" xr:uid="{00000000-0005-0000-0000-000004000000}"/>
    <cellStyle name="Millares [0] 2 2 2" xfId="32" xr:uid="{EFD33E26-8006-4D90-A10F-C7A90C2CF5CB}"/>
    <cellStyle name="Millares [0] 2 3" xfId="31" xr:uid="{3FADB4A4-6B09-45F3-B4EE-0E0E01ABBECD}"/>
    <cellStyle name="Millares [0] 3" xfId="6" xr:uid="{00000000-0005-0000-0000-000005000000}"/>
    <cellStyle name="Millares [0] 3 2" xfId="28" xr:uid="{EB945C37-30BE-4479-965E-4A7A48E05915}"/>
    <cellStyle name="Millares [0] 4" xfId="5" xr:uid="{00000000-0005-0000-0000-000006000000}"/>
    <cellStyle name="Millares [0] 4 2" xfId="27" xr:uid="{9F6EBB87-26A7-484A-B962-4E4649837876}"/>
    <cellStyle name="Millares [0] 5" xfId="30" xr:uid="{62B48299-B912-4DB6-B859-3BA9D7594FB4}"/>
    <cellStyle name="Millares 2" xfId="35" xr:uid="{1242C1A3-FE28-4CBF-B15E-37FE078159A1}"/>
    <cellStyle name="Millares 2 2" xfId="18" xr:uid="{00000000-0005-0000-0000-000007000000}"/>
    <cellStyle name="Millares 2 2 2" xfId="7" xr:uid="{00000000-0005-0000-0000-000008000000}"/>
    <cellStyle name="Millares 2 2 2 2" xfId="29" xr:uid="{41CCA0E8-4545-4534-B16B-83DF73B8F05B}"/>
    <cellStyle name="Millares 3" xfId="15" xr:uid="{00000000-0005-0000-0000-000009000000}"/>
    <cellStyle name="Millares 3 2" xfId="33" xr:uid="{73F7077B-ACB7-4149-9A12-5489F42A1B85}"/>
    <cellStyle name="Moneda" xfId="14" builtinId="4"/>
    <cellStyle name="Moneda 2" xfId="2" xr:uid="{00000000-0005-0000-0000-00000B000000}"/>
    <cellStyle name="Normal" xfId="0" builtinId="0"/>
    <cellStyle name="Normal 2" xfId="1" xr:uid="{00000000-0005-0000-0000-00000D000000}"/>
    <cellStyle name="Normal 2 2" xfId="20" xr:uid="{00000000-0005-0000-0000-00000E000000}"/>
    <cellStyle name="Normal 2 3" xfId="17" xr:uid="{00000000-0005-0000-0000-00000F000000}"/>
    <cellStyle name="Normal 2 3 2" xfId="24" xr:uid="{00000000-0005-0000-0000-000010000000}"/>
    <cellStyle name="Normal 3" xfId="19" xr:uid="{00000000-0005-0000-0000-000011000000}"/>
    <cellStyle name="Normal 3 2" xfId="13" xr:uid="{00000000-0005-0000-0000-000012000000}"/>
    <cellStyle name="Normal 3 4" xfId="25" xr:uid="{00000000-0005-0000-0000-000013000000}"/>
    <cellStyle name="Normal 4" xfId="22" xr:uid="{00000000-0005-0000-0000-000014000000}"/>
    <cellStyle name="Normal 4 2" xfId="8" xr:uid="{00000000-0005-0000-0000-000015000000}"/>
    <cellStyle name="Normal 4 3" xfId="34" xr:uid="{7D4560AE-E404-402F-9CB6-47E04CACA1EC}"/>
    <cellStyle name="Normal 5 2" xfId="3" xr:uid="{00000000-0005-0000-0000-000016000000}"/>
    <cellStyle name="Normal 6" xfId="9" xr:uid="{00000000-0005-0000-0000-000017000000}"/>
    <cellStyle name="Normal 7" xfId="26" xr:uid="{00000000-0005-0000-0000-000018000000}"/>
    <cellStyle name="Normal 8" xfId="4" xr:uid="{00000000-0005-0000-0000-000019000000}"/>
    <cellStyle name="Porcentaje" xfId="1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142875</xdr:colOff>
      <xdr:row>21</xdr:row>
      <xdr:rowOff>28575</xdr:rowOff>
    </xdr:from>
    <xdr:to>
      <xdr:col>1</xdr:col>
      <xdr:colOff>1390650</xdr:colOff>
      <xdr:row>21</xdr:row>
      <xdr:rowOff>190500</xdr:rowOff>
    </xdr:to>
    <xdr:pic>
      <xdr:nvPicPr>
        <xdr:cNvPr id="2" name="Imagen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04875" y="2124075"/>
          <a:ext cx="1247775"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BE39"/>
  <sheetViews>
    <sheetView tabSelected="1" topLeftCell="A11" zoomScaleNormal="100" workbookViewId="0">
      <selection activeCell="D31" sqref="D31"/>
    </sheetView>
  </sheetViews>
  <sheetFormatPr baseColWidth="10" defaultColWidth="11.42578125" defaultRowHeight="12.75" x14ac:dyDescent="0.25"/>
  <cols>
    <col min="1" max="1" width="39.140625" style="30" customWidth="1"/>
    <col min="2" max="2" width="14.42578125" style="247" customWidth="1"/>
    <col min="3" max="3" width="21.140625" style="30" bestFit="1" customWidth="1"/>
    <col min="4" max="4" width="21.140625" style="30" customWidth="1"/>
    <col min="5" max="5" width="19.85546875" style="247" customWidth="1"/>
    <col min="6" max="6" width="16.85546875" style="30" customWidth="1"/>
    <col min="7" max="7" width="17.5703125" style="30" bestFit="1" customWidth="1"/>
    <col min="8" max="8" width="16.5703125" style="30" bestFit="1" customWidth="1"/>
    <col min="9" max="9" width="17.28515625" style="30" bestFit="1" customWidth="1"/>
    <col min="10" max="10" width="17" style="30" bestFit="1" customWidth="1"/>
    <col min="11" max="12" width="17.5703125" style="30" bestFit="1" customWidth="1"/>
    <col min="13" max="13" width="17.28515625" style="30" bestFit="1" customWidth="1"/>
    <col min="14" max="14" width="17" style="30" bestFit="1" customWidth="1"/>
    <col min="15" max="16" width="17.28515625" style="30" bestFit="1" customWidth="1"/>
    <col min="17" max="17" width="17.5703125" style="30" bestFit="1" customWidth="1"/>
    <col min="18" max="19" width="17" style="30" bestFit="1" customWidth="1"/>
    <col min="20" max="20" width="16.5703125" style="30" bestFit="1" customWidth="1"/>
    <col min="21" max="22" width="17" style="30" bestFit="1" customWidth="1"/>
    <col min="23" max="23" width="16.5703125" style="30" bestFit="1" customWidth="1"/>
    <col min="24" max="24" width="17.5703125" style="30" bestFit="1" customWidth="1"/>
    <col min="25" max="25" width="17.28515625" style="30" bestFit="1" customWidth="1"/>
    <col min="26" max="26" width="17" style="30" bestFit="1" customWidth="1"/>
    <col min="27" max="28" width="17.28515625" style="30" bestFit="1" customWidth="1"/>
    <col min="29" max="30" width="17.5703125" style="30" bestFit="1" customWidth="1"/>
    <col min="31" max="31" width="17.28515625" style="30" bestFit="1" customWidth="1"/>
    <col min="32" max="32" width="17.28515625" style="310" bestFit="1" customWidth="1"/>
    <col min="33" max="33" width="17.28515625" style="30" bestFit="1" customWidth="1"/>
    <col min="34" max="34" width="17" style="30" bestFit="1" customWidth="1"/>
    <col min="35" max="36" width="17.5703125" style="30" bestFit="1" customWidth="1"/>
    <col min="37" max="37" width="17.28515625" style="30" bestFit="1" customWidth="1"/>
    <col min="38" max="38" width="15.42578125" style="310" bestFit="1" customWidth="1"/>
    <col min="39" max="39" width="17.28515625" style="30" bestFit="1" customWidth="1"/>
    <col min="40" max="40" width="17.5703125" style="30" bestFit="1" customWidth="1"/>
    <col min="41" max="41" width="17.28515625" style="30" bestFit="1" customWidth="1"/>
    <col min="42" max="43" width="17.5703125" style="30" bestFit="1" customWidth="1"/>
    <col min="44" max="44" width="17.85546875" style="30" bestFit="1" customWidth="1"/>
    <col min="45" max="45" width="18.42578125" style="30" bestFit="1" customWidth="1"/>
    <col min="46" max="57" width="18.28515625" style="30" customWidth="1"/>
    <col min="58" max="16384" width="11.42578125" style="30"/>
  </cols>
  <sheetData>
    <row r="1" spans="1:57" s="247" customFormat="1" ht="14.25" customHeight="1" x14ac:dyDescent="0.25">
      <c r="A1" s="241"/>
      <c r="B1" s="241"/>
      <c r="C1" s="241"/>
      <c r="D1" s="241"/>
      <c r="E1" s="241"/>
      <c r="F1" s="404" t="s">
        <v>253</v>
      </c>
      <c r="G1" s="404"/>
      <c r="H1" s="399" t="s">
        <v>252</v>
      </c>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399"/>
      <c r="AJ1" s="399"/>
      <c r="AK1" s="399"/>
      <c r="AL1" s="399"/>
      <c r="AM1" s="399"/>
      <c r="AN1" s="399"/>
      <c r="AO1" s="399"/>
      <c r="AP1" s="399"/>
      <c r="AQ1" s="399"/>
      <c r="AR1" s="399"/>
      <c r="AS1" s="399"/>
      <c r="AT1" s="399"/>
      <c r="AU1" s="399"/>
      <c r="AV1" s="399"/>
      <c r="AW1" s="399"/>
      <c r="AX1" s="399"/>
      <c r="AY1" s="399"/>
      <c r="AZ1" s="399"/>
      <c r="BA1" s="399"/>
      <c r="BB1" s="399"/>
      <c r="BC1" s="399"/>
      <c r="BD1" s="399"/>
      <c r="BE1" s="399"/>
    </row>
    <row r="2" spans="1:57" s="247" customFormat="1" ht="36" customHeight="1" x14ac:dyDescent="0.25">
      <c r="A2" s="241" t="s">
        <v>107</v>
      </c>
      <c r="B2" s="241" t="s">
        <v>108</v>
      </c>
      <c r="C2" s="241" t="s">
        <v>109</v>
      </c>
      <c r="D2" s="241" t="s">
        <v>381</v>
      </c>
      <c r="E2" s="241" t="s">
        <v>110</v>
      </c>
      <c r="F2" s="323">
        <v>1</v>
      </c>
      <c r="G2" s="323">
        <v>2</v>
      </c>
      <c r="H2" s="292">
        <v>3</v>
      </c>
      <c r="I2" s="293">
        <v>4</v>
      </c>
      <c r="J2" s="293">
        <v>5</v>
      </c>
      <c r="K2" s="293">
        <v>6</v>
      </c>
      <c r="L2" s="293">
        <v>7</v>
      </c>
      <c r="M2" s="293">
        <v>8</v>
      </c>
      <c r="N2" s="293">
        <v>9</v>
      </c>
      <c r="O2" s="293">
        <v>10</v>
      </c>
      <c r="P2" s="293">
        <v>11</v>
      </c>
      <c r="Q2" s="293">
        <v>12</v>
      </c>
      <c r="R2" s="293">
        <v>13</v>
      </c>
      <c r="S2" s="293">
        <v>14</v>
      </c>
      <c r="T2" s="293">
        <v>15</v>
      </c>
      <c r="U2" s="293">
        <v>16</v>
      </c>
      <c r="V2" s="293">
        <v>17</v>
      </c>
      <c r="W2" s="293">
        <v>18</v>
      </c>
      <c r="X2" s="293">
        <v>19</v>
      </c>
      <c r="Y2" s="293">
        <v>20</v>
      </c>
      <c r="Z2" s="293">
        <v>21</v>
      </c>
      <c r="AA2" s="293">
        <v>22</v>
      </c>
      <c r="AB2" s="293">
        <v>23</v>
      </c>
      <c r="AC2" s="293">
        <v>24</v>
      </c>
      <c r="AD2" s="293">
        <v>25</v>
      </c>
      <c r="AE2" s="293">
        <v>26</v>
      </c>
      <c r="AF2" s="293">
        <v>27</v>
      </c>
      <c r="AG2" s="293">
        <v>28</v>
      </c>
      <c r="AH2" s="293">
        <v>29</v>
      </c>
      <c r="AI2" s="293">
        <v>30</v>
      </c>
      <c r="AJ2" s="293">
        <v>31</v>
      </c>
      <c r="AK2" s="293">
        <v>32</v>
      </c>
      <c r="AL2" s="293">
        <v>33</v>
      </c>
      <c r="AM2" s="293">
        <v>34</v>
      </c>
      <c r="AN2" s="293">
        <v>35</v>
      </c>
      <c r="AO2" s="293">
        <v>36</v>
      </c>
      <c r="AP2" s="293">
        <v>37</v>
      </c>
      <c r="AQ2" s="293">
        <v>38</v>
      </c>
      <c r="AR2" s="293">
        <v>39</v>
      </c>
      <c r="AS2" s="293">
        <v>40</v>
      </c>
      <c r="AT2" s="293">
        <v>41</v>
      </c>
      <c r="AU2" s="293">
        <v>42</v>
      </c>
      <c r="AV2" s="293">
        <v>43</v>
      </c>
      <c r="AW2" s="293">
        <v>44</v>
      </c>
      <c r="AX2" s="293">
        <v>45</v>
      </c>
      <c r="AY2" s="293">
        <v>46</v>
      </c>
      <c r="AZ2" s="293">
        <v>47</v>
      </c>
      <c r="BA2" s="293">
        <v>48</v>
      </c>
      <c r="BB2" s="293">
        <v>49</v>
      </c>
      <c r="BC2" s="293">
        <v>50</v>
      </c>
      <c r="BD2" s="293">
        <v>51</v>
      </c>
      <c r="BE2" s="293">
        <v>52</v>
      </c>
    </row>
    <row r="3" spans="1:57" ht="18" customHeight="1" x14ac:dyDescent="0.25">
      <c r="A3" s="241" t="s">
        <v>111</v>
      </c>
      <c r="B3" s="241"/>
      <c r="C3" s="241"/>
      <c r="D3" s="241"/>
      <c r="E3" s="241"/>
      <c r="F3" s="241"/>
      <c r="G3" s="241"/>
      <c r="H3" s="241"/>
      <c r="I3" s="241"/>
      <c r="J3" s="236"/>
      <c r="K3" s="236"/>
      <c r="L3" s="236"/>
      <c r="M3" s="236"/>
      <c r="N3" s="236"/>
      <c r="O3" s="236"/>
      <c r="P3" s="236"/>
      <c r="Q3" s="236"/>
      <c r="R3" s="236"/>
      <c r="S3" s="236"/>
      <c r="T3" s="236"/>
      <c r="U3" s="236"/>
      <c r="V3" s="236"/>
      <c r="W3" s="236"/>
      <c r="X3" s="236"/>
      <c r="Y3" s="236"/>
      <c r="Z3" s="236"/>
      <c r="AA3" s="236"/>
      <c r="AB3" s="236"/>
      <c r="AC3" s="236"/>
      <c r="AD3" s="236"/>
      <c r="AE3" s="236"/>
    </row>
    <row r="4" spans="1:57" ht="18" customHeight="1" x14ac:dyDescent="0.25">
      <c r="A4" s="324" t="s">
        <v>250</v>
      </c>
      <c r="B4" s="268" t="s">
        <v>112</v>
      </c>
      <c r="C4" s="259">
        <f>+Generación_empleo!B17</f>
        <v>1960214580</v>
      </c>
      <c r="D4" s="259">
        <f>+C4*107.16/105.48</f>
        <v>1991435290.0341296</v>
      </c>
      <c r="E4" s="294">
        <f>F4+NPV($C$32,G4)</f>
        <v>3798129395.5731287</v>
      </c>
      <c r="F4" s="311">
        <f>+D4</f>
        <v>1991435290.0341296</v>
      </c>
      <c r="G4" s="311">
        <f>F4+(F4*$C$31)</f>
        <v>2023497398.2036791</v>
      </c>
      <c r="H4" s="311"/>
      <c r="I4" s="311"/>
      <c r="J4" s="311"/>
      <c r="K4" s="311"/>
      <c r="L4" s="311"/>
      <c r="M4" s="311"/>
      <c r="N4" s="311"/>
      <c r="O4" s="311"/>
      <c r="P4" s="311"/>
      <c r="Q4" s="311"/>
      <c r="R4" s="311"/>
      <c r="S4" s="311"/>
      <c r="T4" s="311"/>
      <c r="U4" s="311"/>
      <c r="V4" s="311"/>
      <c r="W4" s="311"/>
      <c r="X4" s="311"/>
      <c r="Y4" s="311"/>
      <c r="Z4" s="311"/>
      <c r="AA4" s="311"/>
      <c r="AB4" s="311"/>
      <c r="AC4" s="311"/>
      <c r="AD4" s="311"/>
      <c r="AE4" s="311"/>
      <c r="AF4" s="311"/>
      <c r="AG4" s="311"/>
      <c r="AH4" s="311"/>
      <c r="AI4" s="311"/>
      <c r="AJ4" s="311"/>
      <c r="AK4" s="311"/>
      <c r="AL4" s="311"/>
      <c r="AM4" s="311"/>
      <c r="AN4" s="311"/>
      <c r="AO4" s="311"/>
      <c r="AP4" s="311"/>
      <c r="AQ4" s="311"/>
      <c r="AR4" s="311"/>
      <c r="AS4" s="311"/>
    </row>
    <row r="5" spans="1:57" ht="18" customHeight="1" x14ac:dyDescent="0.25">
      <c r="A5" s="324" t="s">
        <v>251</v>
      </c>
      <c r="B5" s="268" t="s">
        <v>112</v>
      </c>
      <c r="C5" s="259">
        <f>+Generación_empleo!B49</f>
        <v>539781840</v>
      </c>
      <c r="D5" s="259">
        <f t="shared" ref="D5:D21" si="0">+C5*107.16/105.48</f>
        <v>548379047.91808867</v>
      </c>
      <c r="E5" s="294">
        <f>F5+NPV($C$32,G5:BE5)</f>
        <v>5237363432.8027945</v>
      </c>
      <c r="F5" s="311"/>
      <c r="G5" s="311"/>
      <c r="H5" s="311">
        <f>+D5</f>
        <v>548379047.91808867</v>
      </c>
      <c r="I5" s="311">
        <f>H5+(H5*$C$31)</f>
        <v>557207950.58956993</v>
      </c>
      <c r="J5" s="311">
        <f>I5+(I5*$C$31)</f>
        <v>566178998.59406197</v>
      </c>
      <c r="K5" s="311">
        <f>J5+(J5*$C$31)</f>
        <v>575294480.47142637</v>
      </c>
      <c r="L5" s="311">
        <f>K5+(K5*$C$31)</f>
        <v>584556721.60701632</v>
      </c>
      <c r="M5" s="311">
        <f>L5+(L5*$C$31)</f>
        <v>593968084.8248893</v>
      </c>
      <c r="N5" s="311">
        <f>M5+(M5*$C$31)</f>
        <v>603530970.99057007</v>
      </c>
      <c r="O5" s="311">
        <f>N5+(N5*$C$31)</f>
        <v>613247819.62351823</v>
      </c>
      <c r="P5" s="311">
        <f>O5+(O5*$C$31)</f>
        <v>623121109.51945686</v>
      </c>
      <c r="Q5" s="311">
        <f>P5+(P5*$C$31)</f>
        <v>633153359.38272011</v>
      </c>
      <c r="R5" s="311">
        <f>Q5+(Q5*$C$31)</f>
        <v>643347128.46878195</v>
      </c>
      <c r="S5" s="311">
        <f>R5+(R5*$C$31)</f>
        <v>653705017.23712933</v>
      </c>
      <c r="T5" s="311">
        <f>S5+(S5*$C$31)</f>
        <v>664229668.01464713</v>
      </c>
      <c r="U5" s="311">
        <f>T5+(T5*$C$31)</f>
        <v>674923765.66968298</v>
      </c>
      <c r="V5" s="311">
        <f>U5+(U5*$C$31)</f>
        <v>685790038.29696488</v>
      </c>
      <c r="W5" s="311">
        <f>V5+(V5*$C$31)</f>
        <v>696831257.91354597</v>
      </c>
      <c r="X5" s="311">
        <f>W5+(W5*$C$31)</f>
        <v>708050241.16595411</v>
      </c>
      <c r="Y5" s="311">
        <f>X5+(X5*$C$31)</f>
        <v>719449850.04872596</v>
      </c>
      <c r="Z5" s="311">
        <f>Y5+(Y5*$C$31)</f>
        <v>731032992.6345104</v>
      </c>
      <c r="AA5" s="311">
        <f>Z5+(Z5*$C$31)</f>
        <v>742802623.81592607</v>
      </c>
      <c r="AB5" s="311">
        <f>AA5+(AA5*$C$31)</f>
        <v>754761746.05936253</v>
      </c>
      <c r="AC5" s="311">
        <f>AB5+(AB5*$C$31)</f>
        <v>766913410.17091823</v>
      </c>
      <c r="AD5" s="311">
        <f>AC5+(AC5*$C$31)</f>
        <v>779260716.07466996</v>
      </c>
      <c r="AE5" s="311">
        <f>AD5+(AD5*$C$31)</f>
        <v>791806813.60347211</v>
      </c>
      <c r="AF5" s="311">
        <f>AE5+(AE5*$C$31)</f>
        <v>804554903.30248797</v>
      </c>
      <c r="AG5" s="311">
        <f>AF5+(AF5*$C$31)</f>
        <v>817508237.24565804</v>
      </c>
      <c r="AH5" s="311">
        <f>AG5+(AG5*$C$31)</f>
        <v>830670119.86531317</v>
      </c>
      <c r="AI5" s="311">
        <f>AH5+(AH5*$C$31)</f>
        <v>844043908.79514468</v>
      </c>
      <c r="AJ5" s="311">
        <f>AI5+(AI5*$C$31)</f>
        <v>857633015.72674656</v>
      </c>
      <c r="AK5" s="311">
        <f>AJ5+(AJ5*$C$31)</f>
        <v>871440907.27994716</v>
      </c>
      <c r="AL5" s="311">
        <f>AK5+(AK5*$C$31)</f>
        <v>885471105.88715434</v>
      </c>
      <c r="AM5" s="311">
        <f>AL5+(AL5*$C$31)</f>
        <v>899727190.69193757</v>
      </c>
      <c r="AN5" s="311">
        <f>AM5+(AM5*$C$31)</f>
        <v>914212798.46207774</v>
      </c>
      <c r="AO5" s="311">
        <f>AN5+(AN5*$C$31)</f>
        <v>928931624.51731718</v>
      </c>
      <c r="AP5" s="311">
        <f>AO5+(AO5*$C$31)</f>
        <v>943887423.67204595</v>
      </c>
      <c r="AQ5" s="311">
        <f>AP5+(AP5*$C$31)</f>
        <v>959084011.1931659</v>
      </c>
      <c r="AR5" s="311">
        <f>AQ5+(AQ5*$C$31)</f>
        <v>974525263.77337587</v>
      </c>
      <c r="AS5" s="311">
        <f>AR5+(AR5*$C$31)</f>
        <v>990215120.52012718</v>
      </c>
      <c r="AT5" s="311">
        <f>AS5+(AS5*$C$31)</f>
        <v>1006157583.9605012</v>
      </c>
      <c r="AU5" s="311">
        <f>AT5+(AT5*$C$31)</f>
        <v>1022356721.0622653</v>
      </c>
      <c r="AV5" s="311">
        <f>AU5+(AU5*$C$31)</f>
        <v>1038816664.2713678</v>
      </c>
      <c r="AW5" s="311">
        <f>AV5+(AV5*$C$31)</f>
        <v>1055541612.5661368</v>
      </c>
      <c r="AX5" s="311">
        <f>AW5+(AW5*$C$31)</f>
        <v>1072535832.5284517</v>
      </c>
      <c r="AY5" s="311">
        <f>AX5+(AX5*$C$31)</f>
        <v>1089803659.4321597</v>
      </c>
      <c r="AZ5" s="311">
        <f>AY5+(AY5*$C$31)</f>
        <v>1107349498.3490174</v>
      </c>
      <c r="BA5" s="311">
        <f>AZ5+(AZ5*$C$31)</f>
        <v>1125177825.2724366</v>
      </c>
      <c r="BB5" s="311">
        <f>BA5+(BA5*$C$31)</f>
        <v>1143293188.2593229</v>
      </c>
      <c r="BC5" s="311">
        <f>BB5+(BB5*$C$31)</f>
        <v>1161700208.5902979</v>
      </c>
      <c r="BD5" s="311">
        <f>BC5+(BC5*$C$31)</f>
        <v>1180403581.9486017</v>
      </c>
      <c r="BE5" s="311">
        <f>BD5+(BD5*$C$31)</f>
        <v>1199408079.6179743</v>
      </c>
    </row>
    <row r="6" spans="1:57" ht="25.5" customHeight="1" x14ac:dyDescent="0.25">
      <c r="A6" s="324" t="s">
        <v>306</v>
      </c>
      <c r="B6" s="268" t="s">
        <v>112</v>
      </c>
      <c r="C6" s="259">
        <f>+Adicional_riesgo_accidentes!D5</f>
        <v>11413847.557003258</v>
      </c>
      <c r="D6" s="259">
        <f t="shared" si="0"/>
        <v>11595638.075544834</v>
      </c>
      <c r="E6" s="294">
        <f>F6+NPV($C$32,G6:BE6)</f>
        <v>110745607.56366758</v>
      </c>
      <c r="F6" s="312"/>
      <c r="G6" s="312"/>
      <c r="H6" s="311">
        <f>+D6</f>
        <v>11595638.075544834</v>
      </c>
      <c r="I6" s="311">
        <f>H6+(H6*$C$31)</f>
        <v>11782327.848561106</v>
      </c>
      <c r="J6" s="311">
        <f>I6+(I6*$C$31)</f>
        <v>11972023.32692294</v>
      </c>
      <c r="K6" s="311">
        <f>J6+(J6*$C$31)</f>
        <v>12164772.902486399</v>
      </c>
      <c r="L6" s="311">
        <f>K6+(K6*$C$31)</f>
        <v>12360625.746216429</v>
      </c>
      <c r="M6" s="311">
        <f>L6+(L6*$C$31)</f>
        <v>12559631.820730515</v>
      </c>
      <c r="N6" s="311">
        <f>M6+(M6*$C$31)</f>
        <v>12761841.893044276</v>
      </c>
      <c r="O6" s="311">
        <f>N6+(N6*$C$31)</f>
        <v>12967307.54752229</v>
      </c>
      <c r="P6" s="311">
        <f>O6+(O6*$C$31)</f>
        <v>13176081.199037399</v>
      </c>
      <c r="Q6" s="311">
        <f>P6+(P6*$C$31)</f>
        <v>13388216.106341902</v>
      </c>
      <c r="R6" s="311">
        <f>Q6+(Q6*$C$31)</f>
        <v>13603766.385654006</v>
      </c>
      <c r="S6" s="311">
        <f>R6+(R6*$C$31)</f>
        <v>13822787.024463035</v>
      </c>
      <c r="T6" s="311">
        <f>S6+(S6*$C$31)</f>
        <v>14045333.895556889</v>
      </c>
      <c r="U6" s="311">
        <f>T6+(T6*$C$31)</f>
        <v>14271463.771275355</v>
      </c>
      <c r="V6" s="311">
        <f>U6+(U6*$C$31)</f>
        <v>14501234.337992888</v>
      </c>
      <c r="W6" s="311">
        <f>V6+(V6*$C$31)</f>
        <v>14734704.210834574</v>
      </c>
      <c r="X6" s="311">
        <f>W6+(W6*$C$31)</f>
        <v>14971932.94862901</v>
      </c>
      <c r="Y6" s="311">
        <f>X6+(X6*$C$31)</f>
        <v>15212981.069101937</v>
      </c>
      <c r="Z6" s="311">
        <f>Y6+(Y6*$C$31)</f>
        <v>15457910.064314479</v>
      </c>
      <c r="AA6" s="311">
        <f>Z6+(Z6*$C$31)</f>
        <v>15706782.416349942</v>
      </c>
      <c r="AB6" s="311">
        <f>AA6+(AA6*$C$31)</f>
        <v>15959661.613253176</v>
      </c>
      <c r="AC6" s="311">
        <f>AB6+(AB6*$C$31)</f>
        <v>16216612.165226553</v>
      </c>
      <c r="AD6" s="311">
        <f>AC6+(AC6*$C$31)</f>
        <v>16477699.6210867</v>
      </c>
      <c r="AE6" s="311">
        <f>AD6+(AD6*$C$31)</f>
        <v>16742990.584986195</v>
      </c>
      <c r="AF6" s="311">
        <f>AE6+(AE6*$C$31)</f>
        <v>17012552.733404472</v>
      </c>
      <c r="AG6" s="311">
        <f>AF6+(AF6*$C$31)</f>
        <v>17286454.832412284</v>
      </c>
      <c r="AH6" s="311">
        <f>AG6+(AG6*$C$31)</f>
        <v>17564766.755214121</v>
      </c>
      <c r="AI6" s="311">
        <f>AH6+(AH6*$C$31)</f>
        <v>17847559.49997307</v>
      </c>
      <c r="AJ6" s="311">
        <f>AI6+(AI6*$C$31)</f>
        <v>18134905.207922637</v>
      </c>
      <c r="AK6" s="311">
        <f>AJ6+(AJ6*$C$31)</f>
        <v>18426877.181770191</v>
      </c>
      <c r="AL6" s="311">
        <f>AK6+(AK6*$C$31)</f>
        <v>18723549.90439669</v>
      </c>
      <c r="AM6" s="311">
        <f>AL6+(AL6*$C$31)</f>
        <v>19024999.057857476</v>
      </c>
      <c r="AN6" s="311">
        <f>AM6+(AM6*$C$31)</f>
        <v>19331301.542688981</v>
      </c>
      <c r="AO6" s="311">
        <f>AN6+(AN6*$C$31)</f>
        <v>19642535.497526273</v>
      </c>
      <c r="AP6" s="311">
        <f>AO6+(AO6*$C$31)</f>
        <v>19958780.319036447</v>
      </c>
      <c r="AQ6" s="311">
        <f>AP6+(AP6*$C$31)</f>
        <v>20280116.682172932</v>
      </c>
      <c r="AR6" s="311">
        <f>AQ6+(AQ6*$C$31)</f>
        <v>20606626.560755916</v>
      </c>
      <c r="AS6" s="311">
        <f>AR6+(AR6*$C$31)</f>
        <v>20938393.248384085</v>
      </c>
      <c r="AT6" s="311">
        <f>AS6+(AS6*$C$31)</f>
        <v>21275501.37968307</v>
      </c>
      <c r="AU6" s="311">
        <f>AT6+(AT6*$C$31)</f>
        <v>21618036.951895967</v>
      </c>
      <c r="AV6" s="311">
        <f>AU6+(AU6*$C$31)</f>
        <v>21966087.346821491</v>
      </c>
      <c r="AW6" s="311">
        <f>AV6+(AV6*$C$31)</f>
        <v>22319741.353105318</v>
      </c>
      <c r="AX6" s="311">
        <f>AW6+(AW6*$C$31)</f>
        <v>22679089.188890312</v>
      </c>
      <c r="AY6" s="311">
        <f>AX6+(AX6*$C$31)</f>
        <v>23044222.524831444</v>
      </c>
      <c r="AZ6" s="311">
        <f>AY6+(AY6*$C$31)</f>
        <v>23415234.507481229</v>
      </c>
      <c r="BA6" s="311">
        <f>AZ6+(AZ6*$C$31)</f>
        <v>23792219.783051677</v>
      </c>
      <c r="BB6" s="311">
        <f>BA6+(BA6*$C$31)</f>
        <v>24175274.52155881</v>
      </c>
      <c r="BC6" s="311">
        <f>BB6+(BB6*$C$31)</f>
        <v>24564496.441355906</v>
      </c>
      <c r="BD6" s="311">
        <f>BC6+(BC6*$C$31)</f>
        <v>24959984.834061738</v>
      </c>
      <c r="BE6" s="311">
        <f>BD6+(BD6*$C$31)</f>
        <v>25361840.589890134</v>
      </c>
    </row>
    <row r="7" spans="1:57" ht="25.5" customHeight="1" x14ac:dyDescent="0.25">
      <c r="A7" s="324" t="s">
        <v>314</v>
      </c>
      <c r="B7" s="268" t="s">
        <v>112</v>
      </c>
      <c r="C7" s="259">
        <f>+'Redución emisiones GEI'!D4</f>
        <v>846656836.29872262</v>
      </c>
      <c r="D7" s="259">
        <f t="shared" si="0"/>
        <v>860141700.58561921</v>
      </c>
      <c r="E7" s="294">
        <f>F7+NPV($C$32,G7:BE7)</f>
        <v>8214892065.5860386</v>
      </c>
      <c r="F7" s="312"/>
      <c r="G7" s="312"/>
      <c r="H7" s="311">
        <f>+D7</f>
        <v>860141700.58561921</v>
      </c>
      <c r="I7" s="311">
        <f>H7+(H7*$C$31)</f>
        <v>873989981.96504772</v>
      </c>
      <c r="J7" s="311">
        <f>I7+(I7*$C$31)</f>
        <v>888061220.674685</v>
      </c>
      <c r="K7" s="311">
        <f>J7+(J7*$C$31)</f>
        <v>902359006.32754743</v>
      </c>
      <c r="L7" s="311">
        <f>K7+(K7*$C$31)</f>
        <v>916886986.32942092</v>
      </c>
      <c r="M7" s="311">
        <f>L7+(L7*$C$31)</f>
        <v>931648866.80932462</v>
      </c>
      <c r="N7" s="311">
        <f>M7+(M7*$C$31)</f>
        <v>946648413.56495476</v>
      </c>
      <c r="O7" s="311">
        <f>N7+(N7*$C$31)</f>
        <v>961889453.02335048</v>
      </c>
      <c r="P7" s="311">
        <f>O7+(O7*$C$31)</f>
        <v>977375873.21702647</v>
      </c>
      <c r="Q7" s="311">
        <f>P7+(P7*$C$31)</f>
        <v>993111624.77582061</v>
      </c>
      <c r="R7" s="311">
        <f>Q7+(Q7*$C$31)</f>
        <v>1009100721.9347113</v>
      </c>
      <c r="S7" s="311">
        <f>R7+(R7*$C$31)</f>
        <v>1025347243.5578601</v>
      </c>
      <c r="T7" s="311">
        <f>S7+(S7*$C$31)</f>
        <v>1041855334.1791416</v>
      </c>
      <c r="U7" s="311">
        <f>T7+(T7*$C$31)</f>
        <v>1058629205.0594258</v>
      </c>
      <c r="V7" s="311">
        <f>U7+(U7*$C$31)</f>
        <v>1075673135.2608826</v>
      </c>
      <c r="W7" s="311">
        <f>V7+(V7*$C$31)</f>
        <v>1092991472.7385828</v>
      </c>
      <c r="X7" s="311">
        <f>W7+(W7*$C$31)</f>
        <v>1110588635.4496741</v>
      </c>
      <c r="Y7" s="311">
        <f>X7+(X7*$C$31)</f>
        <v>1128469112.4804139</v>
      </c>
      <c r="Z7" s="311">
        <f>Y7+(Y7*$C$31)</f>
        <v>1146637465.1913486</v>
      </c>
      <c r="AA7" s="311">
        <f>Z7+(Z7*$C$31)</f>
        <v>1165098328.3809292</v>
      </c>
      <c r="AB7" s="311">
        <f>AA7+(AA7*$C$31)</f>
        <v>1183856411.4678621</v>
      </c>
      <c r="AC7" s="311">
        <f>AB7+(AB7*$C$31)</f>
        <v>1202916499.6924946</v>
      </c>
      <c r="AD7" s="311">
        <f>AC7+(AC7*$C$31)</f>
        <v>1222283455.3375437</v>
      </c>
      <c r="AE7" s="311">
        <f>AD7+(AD7*$C$31)</f>
        <v>1241962218.9684782</v>
      </c>
      <c r="AF7" s="311">
        <f>AE7+(AE7*$C$31)</f>
        <v>1261957810.6938708</v>
      </c>
      <c r="AG7" s="311">
        <f>AF7+(AF7*$C$31)</f>
        <v>1282275331.4460421</v>
      </c>
      <c r="AH7" s="311">
        <f>AG7+(AG7*$C$31)</f>
        <v>1302919964.2823234</v>
      </c>
      <c r="AI7" s="311">
        <f>AH7+(AH7*$C$31)</f>
        <v>1323896975.7072687</v>
      </c>
      <c r="AJ7" s="311">
        <f>AI7+(AI7*$C$31)</f>
        <v>1345211717.0161557</v>
      </c>
      <c r="AK7" s="311">
        <f>AJ7+(AJ7*$C$31)</f>
        <v>1366869625.6601157</v>
      </c>
      <c r="AL7" s="311">
        <f>AK7+(AK7*$C$31)</f>
        <v>1388876226.6332436</v>
      </c>
      <c r="AM7" s="311">
        <f>AL7+(AL7*$C$31)</f>
        <v>1411237133.8820388</v>
      </c>
      <c r="AN7" s="311">
        <f>AM7+(AM7*$C$31)</f>
        <v>1433958051.7375398</v>
      </c>
      <c r="AO7" s="311">
        <f>AN7+(AN7*$C$31)</f>
        <v>1457044776.3705142</v>
      </c>
      <c r="AP7" s="311">
        <f>AO7+(AO7*$C$31)</f>
        <v>1480503197.2700794</v>
      </c>
      <c r="AQ7" s="311">
        <f>AP7+(AP7*$C$31)</f>
        <v>1504339298.7461276</v>
      </c>
      <c r="AR7" s="311">
        <f>AQ7+(AQ7*$C$31)</f>
        <v>1528559161.4559402</v>
      </c>
      <c r="AS7" s="311">
        <f>AR7+(AR7*$C$31)</f>
        <v>1553168963.9553809</v>
      </c>
      <c r="AT7" s="311">
        <f>AS7+(AS7*$C$31)</f>
        <v>1578174984.2750626</v>
      </c>
      <c r="AU7" s="311">
        <f>AT7+(AT7*$C$31)</f>
        <v>1603583601.5218911</v>
      </c>
      <c r="AV7" s="311">
        <f>AU7+(AU7*$C$31)</f>
        <v>1629401297.5063937</v>
      </c>
      <c r="AW7" s="311">
        <f>AV7+(AV7*$C$31)</f>
        <v>1655634658.3962467</v>
      </c>
      <c r="AX7" s="311">
        <f>AW7+(AW7*$C$31)</f>
        <v>1682290376.3964262</v>
      </c>
      <c r="AY7" s="311">
        <f>AX7+(AX7*$C$31)</f>
        <v>1709375251.4564087</v>
      </c>
      <c r="AZ7" s="311">
        <f>AY7+(AY7*$C$31)</f>
        <v>1736896193.0048568</v>
      </c>
      <c r="BA7" s="311">
        <f>AZ7+(AZ7*$C$31)</f>
        <v>1764860221.712235</v>
      </c>
      <c r="BB7" s="311">
        <f>BA7+(BA7*$C$31)</f>
        <v>1793274471.2818019</v>
      </c>
      <c r="BC7" s="311">
        <f>BB7+(BB7*$C$31)</f>
        <v>1822146190.269439</v>
      </c>
      <c r="BD7" s="311">
        <f>BC7+(BC7*$C$31)</f>
        <v>1851482743.9327769</v>
      </c>
      <c r="BE7" s="311">
        <f>BD7+(BD7*$C$31)</f>
        <v>1881291616.1100945</v>
      </c>
    </row>
    <row r="8" spans="1:57" s="316" customFormat="1" ht="25.5" customHeight="1" x14ac:dyDescent="0.25">
      <c r="A8" s="379" t="s">
        <v>456</v>
      </c>
      <c r="B8" s="380" t="s">
        <v>112</v>
      </c>
      <c r="C8" s="381" t="s">
        <v>453</v>
      </c>
      <c r="D8" s="381">
        <f>+Adicional_compensacion!P8</f>
        <v>953413206</v>
      </c>
      <c r="E8" s="295">
        <f>F8+NPV($C$32,G8:BE8)</f>
        <v>3054435274.5344982</v>
      </c>
      <c r="F8" s="317"/>
      <c r="G8" s="315">
        <f>+Adicional_compensacion!$P$8</f>
        <v>953413206</v>
      </c>
      <c r="H8" s="315">
        <f>+Adicional_compensacion!$P$9</f>
        <v>637128924</v>
      </c>
      <c r="I8" s="315">
        <f>+Adicional_compensacion!$P$10</f>
        <v>620320824</v>
      </c>
      <c r="J8" s="315">
        <f>+Adicional_compensacion!$P$11</f>
        <v>473644668</v>
      </c>
      <c r="K8" s="315">
        <f>+Adicional_compensacion!$P$12</f>
        <v>456836568</v>
      </c>
      <c r="L8" s="315">
        <f>+Adicional_compensacion!P$13</f>
        <v>163484256</v>
      </c>
      <c r="M8" s="315">
        <f>+Adicional_compensacion!$P$14</f>
        <v>310160412</v>
      </c>
      <c r="N8" s="315">
        <f>+Adicional_compensacion!$P$15</f>
        <v>163484256</v>
      </c>
      <c r="O8" s="315">
        <f>+Adicional_compensacion!$P$16</f>
        <v>310160412</v>
      </c>
      <c r="P8" s="315">
        <f>+Adicional_compensacion!$P$17</f>
        <v>163484256</v>
      </c>
      <c r="Q8" s="315">
        <f>+Adicional_compensacion!$P$18</f>
        <v>310160412</v>
      </c>
      <c r="R8" s="315"/>
      <c r="S8" s="315">
        <f>+Adicional_compensacion!$P$20</f>
        <v>310160412</v>
      </c>
      <c r="T8" s="315"/>
      <c r="U8" s="315">
        <f>+Adicional_compensacion!$P$22</f>
        <v>310160412</v>
      </c>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c r="AW8" s="315"/>
      <c r="AX8" s="315"/>
      <c r="AY8" s="315"/>
      <c r="AZ8" s="315"/>
      <c r="BA8" s="315"/>
      <c r="BB8" s="315"/>
      <c r="BC8" s="315"/>
      <c r="BD8" s="315"/>
      <c r="BE8" s="315"/>
    </row>
    <row r="9" spans="1:57" s="316" customFormat="1" ht="25.5" customHeight="1" x14ac:dyDescent="0.25">
      <c r="A9" s="379" t="s">
        <v>449</v>
      </c>
      <c r="B9" s="380" t="s">
        <v>112</v>
      </c>
      <c r="C9" s="381" t="s">
        <v>453</v>
      </c>
      <c r="D9" s="381">
        <f>+Adicional_compensacion!G28</f>
        <v>67731873.630251393</v>
      </c>
      <c r="E9" s="295">
        <f>F9+NPV($C$32,G9:BE9)</f>
        <v>590927158.17124283</v>
      </c>
      <c r="F9" s="317"/>
      <c r="G9" s="315"/>
      <c r="H9" s="315">
        <f>+D9</f>
        <v>67731873.630251393</v>
      </c>
      <c r="I9" s="315">
        <f>H9+(H9*$C$31)</f>
        <v>68822356.795698434</v>
      </c>
      <c r="J9" s="315">
        <f>I9+(I9*$C$31)</f>
        <v>69930396.740109175</v>
      </c>
      <c r="K9" s="315">
        <f>J9+(J9*$C$31)</f>
        <v>71056276.127624929</v>
      </c>
      <c r="L9" s="315">
        <f>K9+(K9*$C$31)</f>
        <v>72200282.173279688</v>
      </c>
      <c r="M9" s="315">
        <f t="shared" ref="M9" si="1">+I9</f>
        <v>68822356.795698434</v>
      </c>
      <c r="N9" s="315">
        <f>M9+(M9*$C$31)</f>
        <v>69930396.740109175</v>
      </c>
      <c r="O9" s="315">
        <f>N9+(N9*$C$31)</f>
        <v>71056276.127624929</v>
      </c>
      <c r="P9" s="315">
        <f>O9+(O9*$C$31)</f>
        <v>72200282.173279688</v>
      </c>
      <c r="Q9" s="315">
        <f>P9+(P9*$C$31)</f>
        <v>73362706.716269493</v>
      </c>
      <c r="R9" s="315">
        <f t="shared" ref="R9" si="2">+N9</f>
        <v>69930396.740109175</v>
      </c>
      <c r="S9" s="315">
        <f>R9+(R9*$C$31)</f>
        <v>71056276.127624929</v>
      </c>
      <c r="T9" s="315">
        <f>S9+(S9*$C$31)</f>
        <v>72200282.173279688</v>
      </c>
      <c r="U9" s="315">
        <f>T9+(T9*$C$31)</f>
        <v>73362706.716269493</v>
      </c>
      <c r="V9" s="315">
        <f>U9+(U9*$C$31)</f>
        <v>74543846.294401437</v>
      </c>
      <c r="W9" s="315">
        <f t="shared" ref="W9" si="3">+S9</f>
        <v>71056276.127624929</v>
      </c>
      <c r="X9" s="315">
        <f>W9+(W9*$C$31)</f>
        <v>72200282.173279688</v>
      </c>
      <c r="Y9" s="315">
        <f>X9+(X9*$C$31)</f>
        <v>73362706.716269493</v>
      </c>
      <c r="Z9" s="315">
        <f>Y9+(Y9*$C$31)</f>
        <v>74543846.294401437</v>
      </c>
      <c r="AA9" s="315">
        <f>Z9+(Z9*$C$31)</f>
        <v>75744002.2197413</v>
      </c>
      <c r="AB9" s="315">
        <f t="shared" ref="AB9" si="4">+X9</f>
        <v>72200282.173279688</v>
      </c>
      <c r="AC9" s="315">
        <f>AB9+(AB9*$C$31)</f>
        <v>73362706.716269493</v>
      </c>
      <c r="AD9" s="315">
        <f>AC9+(AC9*$C$31)</f>
        <v>74543846.294401437</v>
      </c>
      <c r="AE9" s="315">
        <f>AD9+(AD9*$C$31)</f>
        <v>75744002.2197413</v>
      </c>
      <c r="AF9" s="315">
        <f>AE9+(AE9*$C$31)</f>
        <v>76963480.655479133</v>
      </c>
      <c r="AG9" s="315">
        <f t="shared" ref="AG9" si="5">+AC9</f>
        <v>73362706.716269493</v>
      </c>
      <c r="AH9" s="315">
        <f>AG9+(AG9*$C$31)</f>
        <v>74543846.294401437</v>
      </c>
      <c r="AI9" s="315">
        <f>AH9+(AH9*$C$31)</f>
        <v>75744002.2197413</v>
      </c>
      <c r="AJ9" s="315">
        <f>AI9+(AI9*$C$31)</f>
        <v>76963480.655479133</v>
      </c>
      <c r="AK9" s="315">
        <f>AJ9+(AJ9*$C$31)</f>
        <v>78202592.694032341</v>
      </c>
      <c r="AL9" s="315">
        <f t="shared" ref="AL9" si="6">+AH9</f>
        <v>74543846.294401437</v>
      </c>
      <c r="AM9" s="315">
        <f>AL9+(AL9*$C$31)</f>
        <v>75744002.2197413</v>
      </c>
      <c r="AN9" s="315">
        <f>AM9+(AM9*$C$31)</f>
        <v>76963480.655479133</v>
      </c>
      <c r="AO9" s="315">
        <f>AN9+(AN9*$C$31)</f>
        <v>78202592.694032341</v>
      </c>
      <c r="AP9" s="315">
        <f>AO9+(AO9*$C$31)</f>
        <v>79461654.436406255</v>
      </c>
      <c r="AQ9" s="315">
        <f t="shared" ref="AQ9" si="7">+AM9</f>
        <v>75744002.2197413</v>
      </c>
      <c r="AR9" s="315">
        <f>AQ9+(AQ9*$C$31)</f>
        <v>76963480.655479133</v>
      </c>
      <c r="AS9" s="315">
        <f>AR9+(AR9*$C$31)</f>
        <v>78202592.694032341</v>
      </c>
      <c r="AT9" s="315">
        <f>AS9+(AS9*$C$31)</f>
        <v>79461654.436406255</v>
      </c>
      <c r="AU9" s="315">
        <f>AT9+(AT9*$C$31)</f>
        <v>80740987.072832391</v>
      </c>
      <c r="AV9" s="315">
        <f t="shared" ref="AV9" si="8">+AR9</f>
        <v>76963480.655479133</v>
      </c>
      <c r="AW9" s="315">
        <f>AV9+(AV9*$C$31)</f>
        <v>78202592.694032341</v>
      </c>
      <c r="AX9" s="315">
        <f>AW9+(AW9*$C$31)</f>
        <v>79461654.436406255</v>
      </c>
      <c r="AY9" s="315">
        <f>AX9+(AX9*$C$31)</f>
        <v>80740987.072832391</v>
      </c>
      <c r="AZ9" s="315">
        <f>AY9+(AY9*$C$31)</f>
        <v>82040916.96470499</v>
      </c>
      <c r="BA9" s="315">
        <f t="shared" ref="BA9" si="9">+AW9</f>
        <v>78202592.694032341</v>
      </c>
      <c r="BB9" s="315">
        <f>BA9+(BA9*$C$31)</f>
        <v>79461654.436406255</v>
      </c>
      <c r="BC9" s="315">
        <f>BB9+(BB9*$C$31)</f>
        <v>80740987.072832391</v>
      </c>
      <c r="BD9" s="315">
        <f>BC9+(BC9*$C$31)</f>
        <v>82040916.96470499</v>
      </c>
      <c r="BE9" s="315">
        <f>BD9+(BD9*$C$31)</f>
        <v>83361775.727836743</v>
      </c>
    </row>
    <row r="10" spans="1:57" s="247" customFormat="1" ht="18" customHeight="1" x14ac:dyDescent="0.25">
      <c r="A10" s="241" t="s">
        <v>113</v>
      </c>
      <c r="B10" s="236" t="s">
        <v>364</v>
      </c>
      <c r="C10" s="294">
        <f>SUM(C4:C7)</f>
        <v>3358067103.8557258</v>
      </c>
      <c r="D10" s="259">
        <f>SUM(D4:D9)</f>
        <v>4432696756.2436333</v>
      </c>
      <c r="E10" s="294">
        <f>F10+NPV($C$32,G10:BE10)</f>
        <v>19467055315.3046</v>
      </c>
      <c r="F10" s="313">
        <f>SUM(F4:F8)</f>
        <v>1991435290.0341296</v>
      </c>
      <c r="G10" s="313">
        <f>SUM(G4:G9)</f>
        <v>2976910604.2036791</v>
      </c>
      <c r="H10" s="313">
        <f t="shared" ref="H10:BE10" si="10">SUM(H4:H9)</f>
        <v>2124977184.2095041</v>
      </c>
      <c r="I10" s="313">
        <f t="shared" si="10"/>
        <v>2132123441.1988771</v>
      </c>
      <c r="J10" s="313">
        <f t="shared" si="10"/>
        <v>2009787307.335779</v>
      </c>
      <c r="K10" s="313">
        <f t="shared" si="10"/>
        <v>2017711103.8290854</v>
      </c>
      <c r="L10" s="313">
        <f t="shared" si="10"/>
        <v>1749488871.8559334</v>
      </c>
      <c r="M10" s="313">
        <f t="shared" si="10"/>
        <v>1917159352.250643</v>
      </c>
      <c r="N10" s="313">
        <f t="shared" si="10"/>
        <v>1796355879.1886783</v>
      </c>
      <c r="O10" s="313">
        <f t="shared" si="10"/>
        <v>1969321268.322016</v>
      </c>
      <c r="P10" s="313">
        <f t="shared" si="10"/>
        <v>1849357602.1088004</v>
      </c>
      <c r="Q10" s="313">
        <f t="shared" si="10"/>
        <v>2023176318.9811521</v>
      </c>
      <c r="R10" s="313">
        <f t="shared" si="10"/>
        <v>1735982013.5292566</v>
      </c>
      <c r="S10" s="313">
        <f t="shared" si="10"/>
        <v>2074091735.9470775</v>
      </c>
      <c r="T10" s="313">
        <f t="shared" si="10"/>
        <v>1792330618.2626255</v>
      </c>
      <c r="U10" s="313">
        <f t="shared" si="10"/>
        <v>2131347553.2166538</v>
      </c>
      <c r="V10" s="313">
        <f t="shared" si="10"/>
        <v>1850508254.1902418</v>
      </c>
      <c r="W10" s="313">
        <f t="shared" si="10"/>
        <v>1875613710.9905884</v>
      </c>
      <c r="X10" s="313">
        <f t="shared" si="10"/>
        <v>1905811091.7375369</v>
      </c>
      <c r="Y10" s="313">
        <f t="shared" si="10"/>
        <v>1936494650.3145113</v>
      </c>
      <c r="Z10" s="313">
        <f t="shared" si="10"/>
        <v>1967672214.1845748</v>
      </c>
      <c r="AA10" s="313">
        <f t="shared" si="10"/>
        <v>1999351736.8329465</v>
      </c>
      <c r="AB10" s="313">
        <f t="shared" si="10"/>
        <v>2026778101.3137577</v>
      </c>
      <c r="AC10" s="313">
        <f t="shared" si="10"/>
        <v>2059409228.7449088</v>
      </c>
      <c r="AD10" s="313">
        <f t="shared" si="10"/>
        <v>2092565717.3277018</v>
      </c>
      <c r="AE10" s="313">
        <f t="shared" si="10"/>
        <v>2126256025.376678</v>
      </c>
      <c r="AF10" s="313">
        <f t="shared" si="10"/>
        <v>2160488747.3852425</v>
      </c>
      <c r="AG10" s="313">
        <f t="shared" si="10"/>
        <v>2190432730.2403817</v>
      </c>
      <c r="AH10" s="313">
        <f t="shared" si="10"/>
        <v>2225698697.1972523</v>
      </c>
      <c r="AI10" s="313">
        <f t="shared" si="10"/>
        <v>2261532446.2221279</v>
      </c>
      <c r="AJ10" s="313">
        <f t="shared" si="10"/>
        <v>2297943118.6063037</v>
      </c>
      <c r="AK10" s="313">
        <f t="shared" si="10"/>
        <v>2334940002.815865</v>
      </c>
      <c r="AL10" s="313">
        <f t="shared" si="10"/>
        <v>2367614728.7191963</v>
      </c>
      <c r="AM10" s="313">
        <f t="shared" si="10"/>
        <v>2405733325.8515754</v>
      </c>
      <c r="AN10" s="313">
        <f t="shared" si="10"/>
        <v>2444465632.3977857</v>
      </c>
      <c r="AO10" s="313">
        <f t="shared" si="10"/>
        <v>2483821529.07939</v>
      </c>
      <c r="AP10" s="313">
        <f t="shared" si="10"/>
        <v>2523811055.6975679</v>
      </c>
      <c r="AQ10" s="313">
        <f t="shared" si="10"/>
        <v>2559447428.841208</v>
      </c>
      <c r="AR10" s="313">
        <f t="shared" si="10"/>
        <v>2600654532.4455509</v>
      </c>
      <c r="AS10" s="313">
        <f t="shared" si="10"/>
        <v>2642525070.4179244</v>
      </c>
      <c r="AT10" s="313">
        <f t="shared" si="10"/>
        <v>2685069724.0516529</v>
      </c>
      <c r="AU10" s="313">
        <f t="shared" si="10"/>
        <v>2728299346.6088848</v>
      </c>
      <c r="AV10" s="313">
        <f t="shared" si="10"/>
        <v>2767147529.7800622</v>
      </c>
      <c r="AW10" s="313">
        <f t="shared" si="10"/>
        <v>2811698605.009521</v>
      </c>
      <c r="AX10" s="313">
        <f t="shared" si="10"/>
        <v>2856966952.5501742</v>
      </c>
      <c r="AY10" s="313">
        <f t="shared" si="10"/>
        <v>2902964120.4862323</v>
      </c>
      <c r="AZ10" s="313">
        <f t="shared" si="10"/>
        <v>2949701842.8260608</v>
      </c>
      <c r="BA10" s="313">
        <f t="shared" si="10"/>
        <v>2992032859.4617553</v>
      </c>
      <c r="BB10" s="313">
        <f t="shared" si="10"/>
        <v>3040204588.4990897</v>
      </c>
      <c r="BC10" s="313">
        <f t="shared" si="10"/>
        <v>3089151882.3739257</v>
      </c>
      <c r="BD10" s="313">
        <f t="shared" si="10"/>
        <v>3138887227.6801453</v>
      </c>
      <c r="BE10" s="313">
        <f t="shared" si="10"/>
        <v>3189423312.0457954</v>
      </c>
    </row>
    <row r="11" spans="1:57" ht="18" customHeight="1" x14ac:dyDescent="0.25">
      <c r="A11" s="241" t="s">
        <v>114</v>
      </c>
      <c r="B11" s="236"/>
      <c r="C11" s="320"/>
      <c r="D11" s="294">
        <f>+E10</f>
        <v>19467055315.3046</v>
      </c>
      <c r="E11" s="294"/>
      <c r="F11" s="236"/>
      <c r="G11" s="311">
        <f>F11+(F11*$C$31)</f>
        <v>0</v>
      </c>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68"/>
      <c r="AG11" s="236"/>
      <c r="AH11" s="236"/>
      <c r="AI11" s="236"/>
      <c r="AJ11" s="236"/>
      <c r="AK11" s="236"/>
      <c r="AL11" s="268"/>
      <c r="AM11" s="236"/>
      <c r="AN11" s="236"/>
      <c r="AO11" s="236"/>
      <c r="AP11" s="236"/>
      <c r="AQ11" s="236"/>
      <c r="AR11" s="236"/>
      <c r="AS11" s="236"/>
    </row>
    <row r="12" spans="1:57" ht="18" customHeight="1" x14ac:dyDescent="0.25">
      <c r="A12" s="241" t="s">
        <v>115</v>
      </c>
      <c r="B12" s="236"/>
      <c r="C12" s="236"/>
      <c r="D12" s="259"/>
      <c r="E12" s="294"/>
      <c r="F12" s="236"/>
      <c r="G12" s="311"/>
      <c r="H12" s="241"/>
      <c r="I12" s="241"/>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68"/>
      <c r="AG12" s="236"/>
      <c r="AH12" s="236"/>
      <c r="AI12" s="236"/>
      <c r="AJ12" s="236"/>
      <c r="AK12" s="236"/>
      <c r="AL12" s="268"/>
      <c r="AM12" s="236"/>
      <c r="AN12" s="236"/>
      <c r="AO12" s="236"/>
      <c r="AP12" s="236"/>
      <c r="AQ12" s="236"/>
      <c r="AR12" s="236"/>
      <c r="AS12" s="236"/>
    </row>
    <row r="13" spans="1:57" ht="56.25" customHeight="1" x14ac:dyDescent="0.25">
      <c r="A13" s="324" t="s">
        <v>138</v>
      </c>
      <c r="B13" s="236" t="s">
        <v>112</v>
      </c>
      <c r="C13" s="259">
        <f>+Alteración_paisaje_geoforma!E21</f>
        <v>9375380.3393526413</v>
      </c>
      <c r="D13" s="259">
        <f t="shared" si="0"/>
        <v>9524703.803233115</v>
      </c>
      <c r="E13" s="294">
        <f>F13+NPV($C$32,G13:BE13)</f>
        <v>102022608.09413686</v>
      </c>
      <c r="F13" s="311">
        <f>+D13</f>
        <v>9524703.803233115</v>
      </c>
      <c r="G13" s="311">
        <f>F13+(F13*$C$31)</f>
        <v>9678051.5344651677</v>
      </c>
      <c r="H13" s="311">
        <f>G13+(G13*$C$31)</f>
        <v>9833868.1641700566</v>
      </c>
      <c r="I13" s="311">
        <f>H13+(H13*$C$31)</f>
        <v>9992193.4416131936</v>
      </c>
      <c r="J13" s="311">
        <f>I13+(I13*$C$31)</f>
        <v>10153067.756023167</v>
      </c>
      <c r="K13" s="311">
        <f>J13+(J13*$C$31)</f>
        <v>10316532.14689514</v>
      </c>
      <c r="L13" s="311">
        <f>K13+(K13*$C$31)</f>
        <v>10482628.314460153</v>
      </c>
      <c r="M13" s="311">
        <f>L13+(L13*$C$31)</f>
        <v>10651398.630322961</v>
      </c>
      <c r="N13" s="311">
        <f>M13+(M13*$C$31)</f>
        <v>10822886.14827116</v>
      </c>
      <c r="O13" s="311">
        <f>N13+(N13*$C$31)</f>
        <v>10997134.615258327</v>
      </c>
      <c r="P13" s="311">
        <f>O13+(O13*$C$31)</f>
        <v>11174188.482563986</v>
      </c>
      <c r="Q13" s="311">
        <f>P13+(P13*$C$31)</f>
        <v>11354092.917133266</v>
      </c>
      <c r="R13" s="311">
        <f>Q13+(Q13*$C$31)</f>
        <v>11536893.813099112</v>
      </c>
      <c r="S13" s="311">
        <f>R13+(R13*$C$31)</f>
        <v>11722637.803490007</v>
      </c>
      <c r="T13" s="311">
        <f>S13+(S13*$C$31)</f>
        <v>11911372.272126196</v>
      </c>
      <c r="U13" s="311">
        <f>T13+(T13*$C$31)</f>
        <v>12103145.365707427</v>
      </c>
      <c r="V13" s="311">
        <f>U13+(U13*$C$31)</f>
        <v>12298006.006095316</v>
      </c>
      <c r="W13" s="311">
        <f>V13+(V13*$C$31)</f>
        <v>12496003.90279345</v>
      </c>
      <c r="X13" s="311">
        <f>W13+(W13*$C$31)</f>
        <v>12697189.565628424</v>
      </c>
      <c r="Y13" s="311">
        <f>X13+(X13*$C$31)</f>
        <v>12901614.317635043</v>
      </c>
      <c r="Z13" s="311">
        <f>Y13+(Y13*$C$31)</f>
        <v>13109330.308148967</v>
      </c>
      <c r="AA13" s="311">
        <f>Z13+(Z13*$C$31)</f>
        <v>13320390.526110165</v>
      </c>
      <c r="AB13" s="311">
        <f>AA13+(AA13*$C$31)</f>
        <v>13534848.813580539</v>
      </c>
      <c r="AC13" s="311">
        <f>AB13+(AB13*$C$31)</f>
        <v>13752759.879479187</v>
      </c>
      <c r="AD13" s="311">
        <f>AC13+(AC13*$C$31)</f>
        <v>13974179.313538801</v>
      </c>
      <c r="AE13" s="311">
        <f>AD13+(AD13*$C$31)</f>
        <v>14199163.600486776</v>
      </c>
      <c r="AF13" s="311">
        <f>AE13+(AE13*$C$31)</f>
        <v>14427770.134454614</v>
      </c>
      <c r="AG13" s="311">
        <f>AF13+(AF13*$C$31)</f>
        <v>14660057.233619332</v>
      </c>
      <c r="AH13" s="311">
        <f>AG13+(AG13*$C$31)</f>
        <v>14896084.155080603</v>
      </c>
      <c r="AI13" s="311">
        <f>AH13+(AH13*$C$31)</f>
        <v>15135911.109977402</v>
      </c>
      <c r="AJ13" s="311">
        <f>AI13+(AI13*$C$31)</f>
        <v>15379599.278848037</v>
      </c>
      <c r="AK13" s="311">
        <f>AJ13+(AJ13*$C$31)</f>
        <v>15627210.827237491</v>
      </c>
      <c r="AL13" s="311">
        <f>AK13+(AK13*$C$31)</f>
        <v>15878808.921556015</v>
      </c>
      <c r="AM13" s="311">
        <f>AL13+(AL13*$C$31)</f>
        <v>16134457.745193066</v>
      </c>
      <c r="AN13" s="311">
        <f>AM13+(AM13*$C$31)</f>
        <v>16394222.514890675</v>
      </c>
      <c r="AO13" s="311">
        <f>AN13+(AN13*$C$31)</f>
        <v>16658169.497380415</v>
      </c>
      <c r="AP13" s="311">
        <f>AO13+(AO13*$C$31)</f>
        <v>16926366.026288241</v>
      </c>
      <c r="AQ13" s="259">
        <f>AP13+(AP13*$C$31)</f>
        <v>17198880.51931148</v>
      </c>
      <c r="AR13" s="259">
        <f>AQ13+(AQ13*$C$31)</f>
        <v>17475782.495672394</v>
      </c>
      <c r="AS13" s="259">
        <f>AR13+(AR13*$C$31)</f>
        <v>17757142.593852717</v>
      </c>
      <c r="AT13" s="311">
        <f>AS13+(AS13*$C$31)</f>
        <v>18043032.589613747</v>
      </c>
      <c r="AU13" s="311">
        <f>AT13+(AT13*$C$31)</f>
        <v>18333525.414306529</v>
      </c>
      <c r="AV13" s="259">
        <f>AU13+(AU13*$C$31)</f>
        <v>18628695.173476864</v>
      </c>
      <c r="AW13" s="259">
        <f>AV13+(AV13*$C$31)</f>
        <v>18928617.165769842</v>
      </c>
      <c r="AX13" s="259">
        <f>AW13+(AW13*$C$31)</f>
        <v>19233367.902138736</v>
      </c>
      <c r="AY13" s="311">
        <f>AX13+(AX13*$C$31)</f>
        <v>19543025.125363171</v>
      </c>
      <c r="AZ13" s="311">
        <f>AY13+(AY13*$C$31)</f>
        <v>19857667.829881519</v>
      </c>
      <c r="BA13" s="259">
        <f>AZ13+(AZ13*$C$31)</f>
        <v>20177376.28194261</v>
      </c>
      <c r="BB13" s="259">
        <f>BA13+(BA13*$C$31)</f>
        <v>20502232.040081885</v>
      </c>
      <c r="BC13" s="259">
        <f>BB13+(BB13*$C$31)</f>
        <v>20832317.975927204</v>
      </c>
      <c r="BD13" s="311">
        <f>BC13+(BC13*$C$31)</f>
        <v>21167718.295339633</v>
      </c>
      <c r="BE13" s="311">
        <f>BD13+(BD13*$C$31)</f>
        <v>21508518.559894599</v>
      </c>
    </row>
    <row r="14" spans="1:57" ht="34.5" customHeight="1" x14ac:dyDescent="0.25">
      <c r="A14" s="324" t="s">
        <v>130</v>
      </c>
      <c r="B14" s="236" t="s">
        <v>112</v>
      </c>
      <c r="C14" s="259">
        <f>+Suelo_fisicoqco!B49</f>
        <v>2398810.2192381509</v>
      </c>
      <c r="D14" s="259">
        <f t="shared" si="0"/>
        <v>2437016.5253466084</v>
      </c>
      <c r="E14" s="294">
        <f>F14+NPV($C$32,G14:BE14)</f>
        <v>4647956.2498150803</v>
      </c>
      <c r="F14" s="311">
        <f>D14</f>
        <v>2437016.5253466084</v>
      </c>
      <c r="G14" s="311">
        <f>F14+(F14*$C$31)</f>
        <v>2476252.4914046889</v>
      </c>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1"/>
      <c r="AL14" s="311"/>
      <c r="AM14" s="311"/>
      <c r="AN14" s="311"/>
      <c r="AO14" s="311"/>
      <c r="AP14" s="311"/>
      <c r="AQ14" s="259"/>
      <c r="AR14" s="259"/>
      <c r="AS14" s="259"/>
      <c r="AT14" s="236"/>
      <c r="AU14" s="236"/>
      <c r="AV14" s="236"/>
      <c r="AW14" s="236"/>
      <c r="AX14" s="236"/>
      <c r="AY14" s="236"/>
      <c r="AZ14" s="236"/>
      <c r="BA14" s="236"/>
      <c r="BB14" s="236"/>
      <c r="BC14" s="236"/>
      <c r="BD14" s="236"/>
      <c r="BE14" s="236"/>
    </row>
    <row r="15" spans="1:57" ht="26.25" customHeight="1" x14ac:dyDescent="0.25">
      <c r="A15" s="324" t="s">
        <v>166</v>
      </c>
      <c r="B15" s="236" t="s">
        <v>112</v>
      </c>
      <c r="C15" s="259">
        <f>+'Disponibilidad agua sup'!E19</f>
        <v>413072358.56775504</v>
      </c>
      <c r="D15" s="259">
        <f t="shared" si="0"/>
        <v>419651440.50171244</v>
      </c>
      <c r="E15" s="294">
        <f>F15+NPV($C$32,G15:BE15)</f>
        <v>4007934142.1793032</v>
      </c>
      <c r="F15" s="311"/>
      <c r="G15" s="311"/>
      <c r="H15" s="311">
        <f>+D15</f>
        <v>419651440.50171244</v>
      </c>
      <c r="I15" s="311">
        <f>H15+(H15*$C$31)</f>
        <v>426407828.69379002</v>
      </c>
      <c r="J15" s="311">
        <f>I15+(I15*$C$31)</f>
        <v>433272994.73576003</v>
      </c>
      <c r="K15" s="311">
        <f>J15+(J15*$C$31)</f>
        <v>440248689.95100576</v>
      </c>
      <c r="L15" s="311">
        <f>K15+(K15*$C$31)</f>
        <v>447336693.85921693</v>
      </c>
      <c r="M15" s="311">
        <f>L15+(L15*$C$31)</f>
        <v>454538814.63035029</v>
      </c>
      <c r="N15" s="311">
        <f>M15+(M15*$C$31)</f>
        <v>461856889.54589891</v>
      </c>
      <c r="O15" s="311">
        <f>N15+(N15*$C$31)</f>
        <v>469292785.46758789</v>
      </c>
      <c r="P15" s="311">
        <f>O15+(O15*$C$31)</f>
        <v>476848399.31361604</v>
      </c>
      <c r="Q15" s="311">
        <f>P15+(P15*$C$31)</f>
        <v>484525658.54256523</v>
      </c>
      <c r="R15" s="311">
        <f>Q15+(Q15*$C$31)</f>
        <v>492326521.64510053</v>
      </c>
      <c r="S15" s="311">
        <f>R15+(R15*$C$31)</f>
        <v>500252978.64358664</v>
      </c>
      <c r="T15" s="311">
        <f>S15+(S15*$C$31)</f>
        <v>508307051.59974837</v>
      </c>
      <c r="U15" s="311">
        <f>T15+(T15*$C$31)</f>
        <v>516490795.13050431</v>
      </c>
      <c r="V15" s="311">
        <f>U15+(U15*$C$31)</f>
        <v>524806296.93210542</v>
      </c>
      <c r="W15" s="311">
        <f>V15+(V15*$C$31)</f>
        <v>533255678.31271231</v>
      </c>
      <c r="X15" s="311">
        <f>W15+(W15*$C$31)</f>
        <v>541841094.73354697</v>
      </c>
      <c r="Y15" s="311">
        <f>X15+(X15*$C$31)</f>
        <v>550564736.35875702</v>
      </c>
      <c r="Z15" s="311">
        <f>Y15+(Y15*$C$31)</f>
        <v>559428828.614133</v>
      </c>
      <c r="AA15" s="311">
        <f>Z15+(Z15*$C$31)</f>
        <v>568435632.75482059</v>
      </c>
      <c r="AB15" s="311">
        <f>AA15+(AA15*$C$31)</f>
        <v>577587446.44217324</v>
      </c>
      <c r="AC15" s="311">
        <f>AB15+(AB15*$C$31)</f>
        <v>586886604.32989228</v>
      </c>
      <c r="AD15" s="311">
        <f>AC15+(AC15*$C$31)</f>
        <v>596335478.6596036</v>
      </c>
      <c r="AE15" s="311">
        <f>AD15+(AD15*$C$31)</f>
        <v>605936479.86602318</v>
      </c>
      <c r="AF15" s="311">
        <f>AE15+(AE15*$C$31)</f>
        <v>615692057.19186616</v>
      </c>
      <c r="AG15" s="311">
        <f>AF15+(AF15*$C$31)</f>
        <v>625604699.31265521</v>
      </c>
      <c r="AH15" s="311">
        <f>AG15+(AG15*$C$31)</f>
        <v>635676934.97158897</v>
      </c>
      <c r="AI15" s="311">
        <f>AH15+(AH15*$C$31)</f>
        <v>645911333.62463152</v>
      </c>
      <c r="AJ15" s="311">
        <f>AI15+(AI15*$C$31)</f>
        <v>656310506.09598804</v>
      </c>
      <c r="AK15" s="311">
        <f>AJ15+(AJ15*$C$31)</f>
        <v>666877105.24413347</v>
      </c>
      <c r="AL15" s="311">
        <f>AK15+(AK15*$C$31)</f>
        <v>677613826.63856399</v>
      </c>
      <c r="AM15" s="311">
        <f>AL15+(AL15*$C$31)</f>
        <v>688523409.24744487</v>
      </c>
      <c r="AN15" s="311">
        <f>AM15+(AM15*$C$31)</f>
        <v>699608636.1363287</v>
      </c>
      <c r="AO15" s="311">
        <f>AN15+(AN15*$C$31)</f>
        <v>710872335.17812359</v>
      </c>
      <c r="AP15" s="311">
        <f>AO15+(AO15*$C$31)</f>
        <v>722317379.77449143</v>
      </c>
      <c r="AQ15" s="311">
        <f>AP15+(AP15*$C$31)</f>
        <v>733946689.58886075</v>
      </c>
      <c r="AR15" s="311">
        <f>AQ15+(AQ15*$C$31)</f>
        <v>745763231.29124141</v>
      </c>
      <c r="AS15" s="311">
        <f>AR15+(AR15*$C$31)</f>
        <v>757770019.31503034</v>
      </c>
      <c r="AT15" s="311">
        <f>AS15+(AS15*$C$31)</f>
        <v>769970116.62600231</v>
      </c>
      <c r="AU15" s="311">
        <f>AT15+(AT15*$C$31)</f>
        <v>782366635.50368094</v>
      </c>
      <c r="AV15" s="311">
        <f>AU15+(AU15*$C$31)</f>
        <v>794962738.33529019</v>
      </c>
      <c r="AW15" s="311">
        <f>AV15+(AV15*$C$31)</f>
        <v>807761638.42248833</v>
      </c>
      <c r="AX15" s="311">
        <f>AW15+(AW15*$C$31)</f>
        <v>820766600.80109036</v>
      </c>
      <c r="AY15" s="311">
        <f>AX15+(AX15*$C$31)</f>
        <v>833980943.07398796</v>
      </c>
      <c r="AZ15" s="311">
        <f>AY15+(AY15*$C$31)</f>
        <v>847408036.25747919</v>
      </c>
      <c r="BA15" s="311">
        <f>AZ15+(AZ15*$C$31)</f>
        <v>861051305.64122462</v>
      </c>
      <c r="BB15" s="311">
        <f>BA15+(BA15*$C$31)</f>
        <v>874914231.66204834</v>
      </c>
      <c r="BC15" s="311">
        <f>BB15+(BB15*$C$31)</f>
        <v>889000350.79180729</v>
      </c>
      <c r="BD15" s="311">
        <f>BC15+(BC15*$C$31)</f>
        <v>903313256.43955541</v>
      </c>
      <c r="BE15" s="311">
        <f>BD15+(BD15*$C$31)</f>
        <v>917856599.86823225</v>
      </c>
    </row>
    <row r="16" spans="1:57" ht="18" customHeight="1" x14ac:dyDescent="0.25">
      <c r="A16" s="324" t="s">
        <v>262</v>
      </c>
      <c r="B16" s="236" t="s">
        <v>112</v>
      </c>
      <c r="C16" s="259">
        <f>+'Dinámica agua superficial'!B8</f>
        <v>73523544</v>
      </c>
      <c r="D16" s="259">
        <f t="shared" si="0"/>
        <v>74694567.453924909</v>
      </c>
      <c r="E16" s="294">
        <f>F16+NPV($C$32,G16:BE16)</f>
        <v>800081004.04404175</v>
      </c>
      <c r="F16" s="311">
        <f>+D16</f>
        <v>74694567.453924909</v>
      </c>
      <c r="G16" s="311">
        <f>F16+(F16*$C$31)</f>
        <v>75897149.989933103</v>
      </c>
      <c r="H16" s="311">
        <f>G16+(G16*$C$31)</f>
        <v>77119094.104771033</v>
      </c>
      <c r="I16" s="311">
        <f>H16+(H16*$C$31)</f>
        <v>78360711.519857854</v>
      </c>
      <c r="J16" s="311">
        <f>I16+(I16*$C$31)</f>
        <v>79622318.975327566</v>
      </c>
      <c r="K16" s="311">
        <f>J16+(J16*$C$31)</f>
        <v>80904238.31083034</v>
      </c>
      <c r="L16" s="311">
        <f>K16+(K16*$C$31)</f>
        <v>82206796.547634706</v>
      </c>
      <c r="M16" s="311">
        <f>L16+(L16*$C$31)</f>
        <v>83530325.97205162</v>
      </c>
      <c r="N16" s="311">
        <f>M16+(M16*$C$31)</f>
        <v>84875164.220201656</v>
      </c>
      <c r="O16" s="311">
        <f>N16+(N16*$C$31)</f>
        <v>86241654.364146903</v>
      </c>
      <c r="P16" s="311">
        <f>O16+(O16*$C$31)</f>
        <v>87630144.999409676</v>
      </c>
      <c r="Q16" s="311">
        <f>P16+(P16*$C$31)</f>
        <v>89040990.333900169</v>
      </c>
      <c r="R16" s="311">
        <f>Q16+(Q16*$C$31)</f>
        <v>90474550.278275967</v>
      </c>
      <c r="S16" s="311">
        <f>R16+(R16*$C$31)</f>
        <v>91931190.537756205</v>
      </c>
      <c r="T16" s="311">
        <f>S16+(S16*$C$31)</f>
        <v>93411282.705414087</v>
      </c>
      <c r="U16" s="311">
        <f>T16+(T16*$C$31)</f>
        <v>94915204.356971249</v>
      </c>
      <c r="V16" s="311">
        <f>U16+(U16*$C$31)</f>
        <v>96443339.147118479</v>
      </c>
      <c r="W16" s="311">
        <f>V16+(V16*$C$31)</f>
        <v>97996076.907387093</v>
      </c>
      <c r="X16" s="311">
        <f>W16+(W16*$C$31)</f>
        <v>99573813.745596021</v>
      </c>
      <c r="Y16" s="311">
        <f>X16+(X16*$C$31)</f>
        <v>101176952.14690012</v>
      </c>
      <c r="Z16" s="311">
        <f>Y16+(Y16*$C$31)</f>
        <v>102805901.0764652</v>
      </c>
      <c r="AA16" s="311">
        <f>Z16+(Z16*$C$31)</f>
        <v>104461076.08379629</v>
      </c>
      <c r="AB16" s="311">
        <f>AA16+(AA16*$C$31)</f>
        <v>106142899.40874541</v>
      </c>
      <c r="AC16" s="311">
        <f>AB16+(AB16*$C$31)</f>
        <v>107851800.08922622</v>
      </c>
      <c r="AD16" s="311">
        <f>AC16+(AC16*$C$31)</f>
        <v>109588214.07066275</v>
      </c>
      <c r="AE16" s="311">
        <f>AD16+(AD16*$C$31)</f>
        <v>111352584.31720042</v>
      </c>
      <c r="AF16" s="311">
        <f>AE16+(AE16*$C$31)</f>
        <v>113145360.92470735</v>
      </c>
      <c r="AG16" s="311">
        <f>AF16+(AF16*$C$31)</f>
        <v>114967001.23559514</v>
      </c>
      <c r="AH16" s="311">
        <f>AG16+(AG16*$C$31)</f>
        <v>116817969.95548822</v>
      </c>
      <c r="AI16" s="311">
        <f>AH16+(AH16*$C$31)</f>
        <v>118698739.27177158</v>
      </c>
      <c r="AJ16" s="311">
        <f>AI16+(AI16*$C$31)</f>
        <v>120609788.97404711</v>
      </c>
      <c r="AK16" s="311">
        <f>AJ16+(AJ16*$C$31)</f>
        <v>122551606.57652926</v>
      </c>
      <c r="AL16" s="311">
        <f>AK16+(AK16*$C$31)</f>
        <v>124524687.44241139</v>
      </c>
      <c r="AM16" s="311">
        <f>AL16+(AL16*$C$31)</f>
        <v>126529534.91023421</v>
      </c>
      <c r="AN16" s="311">
        <f>AM16+(AM16*$C$31)</f>
        <v>128566660.42228898</v>
      </c>
      <c r="AO16" s="311">
        <f>AN16+(AN16*$C$31)</f>
        <v>130636583.65508784</v>
      </c>
      <c r="AP16" s="311">
        <f>AO16+(AO16*$C$31)</f>
        <v>132739832.65193476</v>
      </c>
      <c r="AQ16" s="259">
        <f>AP16+(AP16*$C$31)</f>
        <v>134876943.9576309</v>
      </c>
      <c r="AR16" s="259">
        <f>AQ16+(AQ16*$C$31)</f>
        <v>137048462.75534877</v>
      </c>
      <c r="AS16" s="259">
        <f>AR16+(AR16*$C$31)</f>
        <v>139254943.00570989</v>
      </c>
      <c r="AT16" s="311">
        <f>AS16+(AS16*$C$31)</f>
        <v>141496947.5881018</v>
      </c>
      <c r="AU16" s="311">
        <f>AT16+(AT16*$C$31)</f>
        <v>143775048.44427025</v>
      </c>
      <c r="AV16" s="259">
        <f>AU16+(AU16*$C$31)</f>
        <v>146089826.72422302</v>
      </c>
      <c r="AW16" s="259">
        <f>AV16+(AV16*$C$31)</f>
        <v>148441872.93448302</v>
      </c>
      <c r="AX16" s="259">
        <f>AW16+(AW16*$C$31)</f>
        <v>150831787.08872819</v>
      </c>
      <c r="AY16" s="311">
        <f>AX16+(AX16*$C$31)</f>
        <v>153260178.86085671</v>
      </c>
      <c r="AZ16" s="311">
        <f>AY16+(AY16*$C$31)</f>
        <v>155727667.74051651</v>
      </c>
      <c r="BA16" s="259">
        <f>AZ16+(AZ16*$C$31)</f>
        <v>158234883.19113883</v>
      </c>
      <c r="BB16" s="259">
        <f>BA16+(BA16*$C$31)</f>
        <v>160782464.81051618</v>
      </c>
      <c r="BC16" s="259">
        <f>BB16+(BB16*$C$31)</f>
        <v>163371062.49396548</v>
      </c>
      <c r="BD16" s="311">
        <f>BC16+(BC16*$C$31)</f>
        <v>166001336.60011831</v>
      </c>
      <c r="BE16" s="311">
        <f>BD16+(BD16*$C$31)</f>
        <v>168673958.11938021</v>
      </c>
    </row>
    <row r="17" spans="1:57" ht="33.75" customHeight="1" x14ac:dyDescent="0.25">
      <c r="A17" s="324" t="s">
        <v>376</v>
      </c>
      <c r="B17" s="236" t="s">
        <v>112</v>
      </c>
      <c r="C17" s="259">
        <f>+Coberturas_vegetales!E21</f>
        <v>71279943.727119148</v>
      </c>
      <c r="D17" s="259">
        <f t="shared" si="0"/>
        <v>72415232.933239356</v>
      </c>
      <c r="E17" s="294">
        <f>F17+NPV($C$32,G17:BE17)</f>
        <v>775666213.06225789</v>
      </c>
      <c r="F17" s="311">
        <f>+D17</f>
        <v>72415232.933239356</v>
      </c>
      <c r="G17" s="311">
        <f>F17+(F17*$C$31)</f>
        <v>73581118.183464512</v>
      </c>
      <c r="H17" s="311">
        <f>G17+(G17*$C$31)</f>
        <v>74765774.186218292</v>
      </c>
      <c r="I17" s="311">
        <f>H17+(H17*$C$31)</f>
        <v>75969503.150616407</v>
      </c>
      <c r="J17" s="311">
        <f>I17+(I17*$C$31)</f>
        <v>77192612.151341334</v>
      </c>
      <c r="K17" s="311">
        <f>J17+(J17*$C$31)</f>
        <v>78435413.206977934</v>
      </c>
      <c r="L17" s="311">
        <f>K17+(K17*$C$31)</f>
        <v>79698223.359610274</v>
      </c>
      <c r="M17" s="311">
        <f>L17+(L17*$C$31)</f>
        <v>80981364.755700007</v>
      </c>
      <c r="N17" s="311">
        <f>M17+(M17*$C$31)</f>
        <v>82285164.728266776</v>
      </c>
      <c r="O17" s="311">
        <f>N17+(N17*$C$31)</f>
        <v>83609955.880391866</v>
      </c>
      <c r="P17" s="311">
        <f>O17+(O17*$C$31)</f>
        <v>84956076.170066178</v>
      </c>
      <c r="Q17" s="311">
        <f>P17+(P17*$C$31)</f>
        <v>86323868.996404245</v>
      </c>
      <c r="R17" s="311">
        <f>Q17+(Q17*$C$31)</f>
        <v>87713683.287246346</v>
      </c>
      <c r="S17" s="311">
        <f>R17+(R17*$C$31)</f>
        <v>89125873.588171005</v>
      </c>
      <c r="T17" s="311">
        <f>S17+(S17*$C$31)</f>
        <v>90560800.152940556</v>
      </c>
      <c r="U17" s="311">
        <f>T17+(T17*$C$31)</f>
        <v>92018829.035402894</v>
      </c>
      <c r="V17" s="311">
        <f>U17+(U17*$C$31)</f>
        <v>93500332.182872877</v>
      </c>
      <c r="W17" s="311">
        <f>V17+(V17*$C$31)</f>
        <v>95005687.531017125</v>
      </c>
      <c r="X17" s="311">
        <f>W17+(W17*$C$31)</f>
        <v>96535279.100266501</v>
      </c>
      <c r="Y17" s="311">
        <f>X17+(X17*$C$31)</f>
        <v>98089497.093780786</v>
      </c>
      <c r="Z17" s="311">
        <f>Y17+(Y17*$C$31)</f>
        <v>99668737.996990651</v>
      </c>
      <c r="AA17" s="311">
        <f>Z17+(Z17*$C$31)</f>
        <v>101273404.6787422</v>
      </c>
      <c r="AB17" s="311">
        <f>AA17+(AA17*$C$31)</f>
        <v>102903906.49406995</v>
      </c>
      <c r="AC17" s="311">
        <f>AB17+(AB17*$C$31)</f>
        <v>104560659.38862447</v>
      </c>
      <c r="AD17" s="311">
        <f>AC17+(AC17*$C$31)</f>
        <v>106244086.00478134</v>
      </c>
      <c r="AE17" s="311">
        <f>AD17+(AD17*$C$31)</f>
        <v>107954615.78945832</v>
      </c>
      <c r="AF17" s="311">
        <f>AE17+(AE17*$C$31)</f>
        <v>109692685.1036686</v>
      </c>
      <c r="AG17" s="311">
        <f>AF17+(AF17*$C$31)</f>
        <v>111458737.33383766</v>
      </c>
      <c r="AH17" s="311">
        <f>AG17+(AG17*$C$31)</f>
        <v>113253223.00491245</v>
      </c>
      <c r="AI17" s="311">
        <f>AH17+(AH17*$C$31)</f>
        <v>115076599.89529154</v>
      </c>
      <c r="AJ17" s="311">
        <f>AI17+(AI17*$C$31)</f>
        <v>116929333.15360573</v>
      </c>
      <c r="AK17" s="311">
        <f>AJ17+(AJ17*$C$31)</f>
        <v>118811895.41737878</v>
      </c>
      <c r="AL17" s="311">
        <f>AK17+(AK17*$C$31)</f>
        <v>120724766.93359858</v>
      </c>
      <c r="AM17" s="311">
        <f>AL17+(AL17*$C$31)</f>
        <v>122668435.68122952</v>
      </c>
      <c r="AN17" s="311">
        <f>AM17+(AM17*$C$31)</f>
        <v>124643397.49569732</v>
      </c>
      <c r="AO17" s="311">
        <f>AN17+(AN17*$C$31)</f>
        <v>126650156.19537805</v>
      </c>
      <c r="AP17" s="311">
        <f>AO17+(AO17*$C$31)</f>
        <v>128689223.71012364</v>
      </c>
      <c r="AQ17" s="259">
        <f>AP17+(AP17*$C$31)</f>
        <v>130761120.21185663</v>
      </c>
      <c r="AR17" s="259">
        <f>AQ17+(AQ17*$C$31)</f>
        <v>132866374.24726753</v>
      </c>
      <c r="AS17" s="259">
        <f>AR17+(AR17*$C$31)</f>
        <v>135005522.87264854</v>
      </c>
      <c r="AT17" s="311">
        <f>AS17+(AS17*$C$31)</f>
        <v>137179111.79089817</v>
      </c>
      <c r="AU17" s="311">
        <f>AT17+(AT17*$C$31)</f>
        <v>139387695.49073163</v>
      </c>
      <c r="AV17" s="259">
        <f>AU17+(AU17*$C$31)</f>
        <v>141631837.38813239</v>
      </c>
      <c r="AW17" s="259">
        <f>AV17+(AV17*$C$31)</f>
        <v>143912109.97008133</v>
      </c>
      <c r="AX17" s="259">
        <f>AW17+(AW17*$C$31)</f>
        <v>146229094.94059965</v>
      </c>
      <c r="AY17" s="311">
        <f>AX17+(AX17*$C$31)</f>
        <v>148583383.36914331</v>
      </c>
      <c r="AZ17" s="311">
        <f>AY17+(AY17*$C$31)</f>
        <v>150975575.84138653</v>
      </c>
      <c r="BA17" s="259">
        <f>AZ17+(AZ17*$C$31)</f>
        <v>153406282.61243284</v>
      </c>
      <c r="BB17" s="259">
        <f>BA17+(BA17*$C$31)</f>
        <v>155876123.76249301</v>
      </c>
      <c r="BC17" s="259">
        <f>BB17+(BB17*$C$31)</f>
        <v>158385729.35506916</v>
      </c>
      <c r="BD17" s="311">
        <f>BC17+(BC17*$C$31)</f>
        <v>160935739.59768578</v>
      </c>
      <c r="BE17" s="311">
        <f>BD17+(BD17*$C$31)</f>
        <v>163526805.00520852</v>
      </c>
    </row>
    <row r="18" spans="1:57" ht="25.5" customHeight="1" x14ac:dyDescent="0.25">
      <c r="A18" s="324" t="s">
        <v>380</v>
      </c>
      <c r="B18" s="236" t="s">
        <v>112</v>
      </c>
      <c r="C18" s="259">
        <f>+Modificacion_habitat!E10</f>
        <v>14288914.770991419</v>
      </c>
      <c r="D18" s="259">
        <f t="shared" si="0"/>
        <v>14516497.031280246</v>
      </c>
      <c r="E18" s="294">
        <f>F18+NPV($C$32,G18:BE18)</f>
        <v>155491542.63666278</v>
      </c>
      <c r="F18" s="311">
        <f t="shared" ref="F18:F21" si="11">+D18</f>
        <v>14516497.031280246</v>
      </c>
      <c r="G18" s="311">
        <f>F18+(F18*$C$31)</f>
        <v>14750212.633483857</v>
      </c>
      <c r="H18" s="311">
        <f>G18+(G18*$C$31)</f>
        <v>14987691.056882948</v>
      </c>
      <c r="I18" s="311">
        <f>H18+(H18*$C$31)</f>
        <v>15228992.882898763</v>
      </c>
      <c r="J18" s="311">
        <f>I18+(I18*$C$31)</f>
        <v>15474179.668313432</v>
      </c>
      <c r="K18" s="311">
        <f>J18+(J18*$C$31)</f>
        <v>15723313.96097328</v>
      </c>
      <c r="L18" s="311">
        <f>K18+(K18*$C$31)</f>
        <v>15976459.31574495</v>
      </c>
      <c r="M18" s="311">
        <f>L18+(L18*$C$31)</f>
        <v>16233680.310728444</v>
      </c>
      <c r="N18" s="311">
        <f>M18+(M18*$C$31)</f>
        <v>16495042.563731171</v>
      </c>
      <c r="O18" s="311">
        <f>N18+(N18*$C$31)</f>
        <v>16760612.749007244</v>
      </c>
      <c r="P18" s="311">
        <f>O18+(O18*$C$31)</f>
        <v>17030458.614266261</v>
      </c>
      <c r="Q18" s="311">
        <f>P18+(P18*$C$31)</f>
        <v>17304648.997955948</v>
      </c>
      <c r="R18" s="311">
        <f>Q18+(Q18*$C$31)</f>
        <v>17583253.84682304</v>
      </c>
      <c r="S18" s="311">
        <f>R18+(R18*$C$31)</f>
        <v>17866344.233756892</v>
      </c>
      <c r="T18" s="311">
        <f>S18+(S18*$C$31)</f>
        <v>18153992.375920378</v>
      </c>
      <c r="U18" s="311">
        <f>T18+(T18*$C$31)</f>
        <v>18446271.653172694</v>
      </c>
      <c r="V18" s="311">
        <f>U18+(U18*$C$31)</f>
        <v>18743256.626788773</v>
      </c>
      <c r="W18" s="311">
        <f>V18+(V18*$C$31)</f>
        <v>19045023.058480073</v>
      </c>
      <c r="X18" s="311">
        <f>W18+(W18*$C$31)</f>
        <v>19351647.929721601</v>
      </c>
      <c r="Y18" s="311">
        <f>X18+(X18*$C$31)</f>
        <v>19663209.461390119</v>
      </c>
      <c r="Z18" s="311">
        <f>Y18+(Y18*$C$31)</f>
        <v>19979787.133718502</v>
      </c>
      <c r="AA18" s="311">
        <f>Z18+(Z18*$C$31)</f>
        <v>20301461.70657137</v>
      </c>
      <c r="AB18" s="311">
        <f>AA18+(AA18*$C$31)</f>
        <v>20628315.240047168</v>
      </c>
      <c r="AC18" s="311">
        <f>AB18+(AB18*$C$31)</f>
        <v>20960431.115411926</v>
      </c>
      <c r="AD18" s="311">
        <f>AC18+(AC18*$C$31)</f>
        <v>21297894.056370057</v>
      </c>
      <c r="AE18" s="311">
        <f>AD18+(AD18*$C$31)</f>
        <v>21640790.150677614</v>
      </c>
      <c r="AF18" s="311">
        <f>AE18+(AE18*$C$31)</f>
        <v>21989206.872103523</v>
      </c>
      <c r="AG18" s="311">
        <f>AF18+(AF18*$C$31)</f>
        <v>22343233.102744389</v>
      </c>
      <c r="AH18" s="311">
        <f>AG18+(AG18*$C$31)</f>
        <v>22702959.155698575</v>
      </c>
      <c r="AI18" s="311">
        <f>AH18+(AH18*$C$31)</f>
        <v>23068476.798105322</v>
      </c>
      <c r="AJ18" s="311">
        <f>AI18+(AI18*$C$31)</f>
        <v>23439879.274554819</v>
      </c>
      <c r="AK18" s="311">
        <f>AJ18+(AJ18*$C$31)</f>
        <v>23817261.330875151</v>
      </c>
      <c r="AL18" s="311">
        <f>AK18+(AK18*$C$31)</f>
        <v>24200719.238302242</v>
      </c>
      <c r="AM18" s="311">
        <f>AL18+(AL18*$C$31)</f>
        <v>24590350.818038907</v>
      </c>
      <c r="AN18" s="311">
        <f>AM18+(AM18*$C$31)</f>
        <v>24986255.466209333</v>
      </c>
      <c r="AO18" s="311">
        <f>AN18+(AN18*$C$31)</f>
        <v>25388534.179215305</v>
      </c>
      <c r="AP18" s="311">
        <f>AO18+(AO18*$C$31)</f>
        <v>25797289.579500671</v>
      </c>
      <c r="AQ18" s="259">
        <f>AP18+(AP18*$C$31)</f>
        <v>26212625.941730633</v>
      </c>
      <c r="AR18" s="259">
        <f>AQ18+(AQ18*$C$31)</f>
        <v>26634649.219392497</v>
      </c>
      <c r="AS18" s="259">
        <f>AR18+(AR18*$C$31)</f>
        <v>27063467.071824715</v>
      </c>
      <c r="AT18" s="311">
        <f>AS18+(AS18*$C$31)</f>
        <v>27499188.891681094</v>
      </c>
      <c r="AU18" s="311">
        <f>AT18+(AT18*$C$31)</f>
        <v>27941925.832837161</v>
      </c>
      <c r="AV18" s="259">
        <f>AU18+(AU18*$C$31)</f>
        <v>28391790.83874584</v>
      </c>
      <c r="AW18" s="259">
        <f>AV18+(AV18*$C$31)</f>
        <v>28848898.671249647</v>
      </c>
      <c r="AX18" s="259">
        <f>AW18+(AW18*$C$31)</f>
        <v>29313365.939856768</v>
      </c>
      <c r="AY18" s="311">
        <f>AX18+(AX18*$C$31)</f>
        <v>29785311.131488461</v>
      </c>
      <c r="AZ18" s="311">
        <f>AY18+(AY18*$C$31)</f>
        <v>30264854.640705425</v>
      </c>
      <c r="BA18" s="259">
        <f>AZ18+(AZ18*$C$31)</f>
        <v>30752118.800420783</v>
      </c>
      <c r="BB18" s="259">
        <f>BA18+(BA18*$C$31)</f>
        <v>31247227.913107559</v>
      </c>
      <c r="BC18" s="259">
        <f>BB18+(BB18*$C$31)</f>
        <v>31750308.282508589</v>
      </c>
      <c r="BD18" s="311">
        <f>BC18+(BC18*$C$31)</f>
        <v>32261488.245856978</v>
      </c>
      <c r="BE18" s="311">
        <f>BD18+(BD18*$C$31)</f>
        <v>32780898.206615277</v>
      </c>
    </row>
    <row r="19" spans="1:57" ht="24" customHeight="1" x14ac:dyDescent="0.25">
      <c r="A19" s="324" t="s">
        <v>218</v>
      </c>
      <c r="B19" s="236" t="s">
        <v>112</v>
      </c>
      <c r="C19" s="259">
        <f>+Habitats_acuaticos!E18</f>
        <v>311600259.18486542</v>
      </c>
      <c r="D19" s="259">
        <f t="shared" si="0"/>
        <v>316563175.71340704</v>
      </c>
      <c r="E19" s="294">
        <f>F19+NPV($C$32,G19:BE19)</f>
        <v>3390824689.1500587</v>
      </c>
      <c r="F19" s="311">
        <f t="shared" si="11"/>
        <v>316563175.71340704</v>
      </c>
      <c r="G19" s="311">
        <f>F19+(F19*$C$31)</f>
        <v>321659842.84239292</v>
      </c>
      <c r="H19" s="311">
        <f t="shared" ref="H19:AM19" si="12">G19+(G19*$C$31)</f>
        <v>326838566.31215543</v>
      </c>
      <c r="I19" s="311">
        <f t="shared" si="12"/>
        <v>332100667.22978115</v>
      </c>
      <c r="J19" s="311">
        <f t="shared" si="12"/>
        <v>337447487.9721806</v>
      </c>
      <c r="K19" s="311">
        <f t="shared" si="12"/>
        <v>342880392.52853268</v>
      </c>
      <c r="L19" s="311">
        <f t="shared" si="12"/>
        <v>348400766.84824204</v>
      </c>
      <c r="M19" s="311">
        <f t="shared" si="12"/>
        <v>354010019.19449872</v>
      </c>
      <c r="N19" s="311">
        <f t="shared" si="12"/>
        <v>359709580.50353014</v>
      </c>
      <c r="O19" s="311">
        <f t="shared" si="12"/>
        <v>365500904.74963701</v>
      </c>
      <c r="P19" s="311">
        <f t="shared" si="12"/>
        <v>371385469.31610614</v>
      </c>
      <c r="Q19" s="311">
        <f t="shared" si="12"/>
        <v>377364775.37209547</v>
      </c>
      <c r="R19" s="311">
        <f t="shared" si="12"/>
        <v>383440348.25558621</v>
      </c>
      <c r="S19" s="311">
        <f t="shared" si="12"/>
        <v>389613737.86250114</v>
      </c>
      <c r="T19" s="311">
        <f t="shared" si="12"/>
        <v>395886519.04208744</v>
      </c>
      <c r="U19" s="311">
        <f t="shared" si="12"/>
        <v>402260291.99866503</v>
      </c>
      <c r="V19" s="311">
        <f t="shared" si="12"/>
        <v>408736682.69984353</v>
      </c>
      <c r="W19" s="311">
        <f t="shared" si="12"/>
        <v>415317343.29131103</v>
      </c>
      <c r="X19" s="311">
        <f t="shared" si="12"/>
        <v>422003952.51830113</v>
      </c>
      <c r="Y19" s="311">
        <f t="shared" si="12"/>
        <v>428798216.15384579</v>
      </c>
      <c r="Z19" s="311">
        <f t="shared" si="12"/>
        <v>435701867.43392271</v>
      </c>
      <c r="AA19" s="311">
        <f t="shared" si="12"/>
        <v>442716667.49960887</v>
      </c>
      <c r="AB19" s="311">
        <f t="shared" si="12"/>
        <v>449844405.84635258</v>
      </c>
      <c r="AC19" s="311">
        <f t="shared" si="12"/>
        <v>457086900.78047884</v>
      </c>
      <c r="AD19" s="311">
        <f t="shared" si="12"/>
        <v>464445999.88304454</v>
      </c>
      <c r="AE19" s="311">
        <f t="shared" si="12"/>
        <v>471923580.48116153</v>
      </c>
      <c r="AF19" s="311">
        <f t="shared" si="12"/>
        <v>479521550.12690824</v>
      </c>
      <c r="AG19" s="311">
        <f t="shared" si="12"/>
        <v>487241847.08395147</v>
      </c>
      <c r="AH19" s="311">
        <f t="shared" si="12"/>
        <v>495086440.82200307</v>
      </c>
      <c r="AI19" s="311">
        <f t="shared" si="12"/>
        <v>503057332.51923734</v>
      </c>
      <c r="AJ19" s="311">
        <f t="shared" si="12"/>
        <v>511156555.57279706</v>
      </c>
      <c r="AK19" s="311">
        <f t="shared" si="12"/>
        <v>519386176.11751908</v>
      </c>
      <c r="AL19" s="311">
        <f t="shared" si="12"/>
        <v>527748293.55301112</v>
      </c>
      <c r="AM19" s="311">
        <f t="shared" si="12"/>
        <v>536245041.07921457</v>
      </c>
      <c r="AN19" s="311">
        <f t="shared" ref="AN19:BE19" si="13">AM19+(AM19*$C$31)</f>
        <v>544878586.24058998</v>
      </c>
      <c r="AO19" s="311">
        <f t="shared" si="13"/>
        <v>553651131.47906351</v>
      </c>
      <c r="AP19" s="311">
        <f t="shared" si="13"/>
        <v>562564914.69587648</v>
      </c>
      <c r="AQ19" s="259">
        <f t="shared" si="13"/>
        <v>571622209.82248008</v>
      </c>
      <c r="AR19" s="259">
        <f t="shared" si="13"/>
        <v>580825327.40062201</v>
      </c>
      <c r="AS19" s="259">
        <f t="shared" si="13"/>
        <v>590176615.171772</v>
      </c>
      <c r="AT19" s="259">
        <f t="shared" si="13"/>
        <v>599678458.67603755</v>
      </c>
      <c r="AU19" s="259">
        <f t="shared" si="13"/>
        <v>609333281.86072171</v>
      </c>
      <c r="AV19" s="259">
        <f t="shared" si="13"/>
        <v>619143547.69867933</v>
      </c>
      <c r="AW19" s="259">
        <f t="shared" si="13"/>
        <v>629111758.8166281</v>
      </c>
      <c r="AX19" s="259">
        <f t="shared" si="13"/>
        <v>639240458.1335758</v>
      </c>
      <c r="AY19" s="259">
        <f t="shared" si="13"/>
        <v>649532229.50952637</v>
      </c>
      <c r="AZ19" s="259">
        <f t="shared" si="13"/>
        <v>659989698.40462971</v>
      </c>
      <c r="BA19" s="259">
        <f t="shared" si="13"/>
        <v>670615532.54894423</v>
      </c>
      <c r="BB19" s="259">
        <f t="shared" si="13"/>
        <v>681412442.62298226</v>
      </c>
      <c r="BC19" s="259">
        <f t="shared" si="13"/>
        <v>692383182.94921231</v>
      </c>
      <c r="BD19" s="259">
        <f t="shared" si="13"/>
        <v>703530552.19469464</v>
      </c>
      <c r="BE19" s="259">
        <f t="shared" si="13"/>
        <v>714857394.08502924</v>
      </c>
    </row>
    <row r="20" spans="1:57" ht="24" customHeight="1" x14ac:dyDescent="0.25">
      <c r="A20" s="324" t="s">
        <v>248</v>
      </c>
      <c r="B20" s="236" t="s">
        <v>112</v>
      </c>
      <c r="C20" s="259">
        <f>+Corredores_acuaticos!D13</f>
        <v>76315025.336986959</v>
      </c>
      <c r="D20" s="259">
        <f t="shared" si="0"/>
        <v>77530509.244515762</v>
      </c>
      <c r="E20" s="294">
        <f>F20+NPV($C$32,G20:BE20)</f>
        <v>830457820.35837388</v>
      </c>
      <c r="F20" s="311">
        <f t="shared" si="11"/>
        <v>77530509.244515762</v>
      </c>
      <c r="G20" s="311">
        <f>F20+(F20*$C$31)</f>
        <v>78778750.443352461</v>
      </c>
      <c r="H20" s="311">
        <f t="shared" ref="H20:AM20" si="14">G20+(G20*$C$31)</f>
        <v>80047088.32549043</v>
      </c>
      <c r="I20" s="311">
        <f t="shared" si="14"/>
        <v>81335846.447530821</v>
      </c>
      <c r="J20" s="311">
        <f t="shared" si="14"/>
        <v>82645353.575336069</v>
      </c>
      <c r="K20" s="311">
        <f t="shared" si="14"/>
        <v>83975943.767898977</v>
      </c>
      <c r="L20" s="311">
        <f t="shared" si="14"/>
        <v>85327956.462562144</v>
      </c>
      <c r="M20" s="311">
        <f t="shared" si="14"/>
        <v>86701736.561609387</v>
      </c>
      <c r="N20" s="311">
        <f t="shared" si="14"/>
        <v>88097634.520251304</v>
      </c>
      <c r="O20" s="311">
        <f t="shared" si="14"/>
        <v>89516006.436027348</v>
      </c>
      <c r="P20" s="311">
        <f t="shared" si="14"/>
        <v>90957214.139647394</v>
      </c>
      <c r="Q20" s="311">
        <f t="shared" si="14"/>
        <v>92421625.287295714</v>
      </c>
      <c r="R20" s="311">
        <f t="shared" si="14"/>
        <v>93909613.454421178</v>
      </c>
      <c r="S20" s="311">
        <f t="shared" si="14"/>
        <v>95421558.231037363</v>
      </c>
      <c r="T20" s="311">
        <f t="shared" si="14"/>
        <v>96957845.318557069</v>
      </c>
      <c r="U20" s="311">
        <f t="shared" si="14"/>
        <v>98518866.628185838</v>
      </c>
      <c r="V20" s="311">
        <f t="shared" si="14"/>
        <v>100105020.38089964</v>
      </c>
      <c r="W20" s="311">
        <f t="shared" si="14"/>
        <v>101716711.20903212</v>
      </c>
      <c r="X20" s="311">
        <f t="shared" si="14"/>
        <v>103354350.25949754</v>
      </c>
      <c r="Y20" s="311">
        <f t="shared" si="14"/>
        <v>105018355.29867545</v>
      </c>
      <c r="Z20" s="311">
        <f t="shared" si="14"/>
        <v>106709150.81898412</v>
      </c>
      <c r="AA20" s="311">
        <f t="shared" si="14"/>
        <v>108427168.14716977</v>
      </c>
      <c r="AB20" s="311">
        <f t="shared" si="14"/>
        <v>110172845.5543392</v>
      </c>
      <c r="AC20" s="311">
        <f t="shared" si="14"/>
        <v>111946628.36776406</v>
      </c>
      <c r="AD20" s="311">
        <f t="shared" si="14"/>
        <v>113748969.08448505</v>
      </c>
      <c r="AE20" s="311">
        <f t="shared" si="14"/>
        <v>115580327.48674527</v>
      </c>
      <c r="AF20" s="311">
        <f t="shared" si="14"/>
        <v>117441170.75928187</v>
      </c>
      <c r="AG20" s="311">
        <f t="shared" si="14"/>
        <v>119331973.60850631</v>
      </c>
      <c r="AH20" s="311">
        <f t="shared" si="14"/>
        <v>121253218.38360326</v>
      </c>
      <c r="AI20" s="311">
        <f t="shared" si="14"/>
        <v>123205395.19957927</v>
      </c>
      <c r="AJ20" s="311">
        <f t="shared" si="14"/>
        <v>125189002.0622925</v>
      </c>
      <c r="AK20" s="311">
        <f t="shared" si="14"/>
        <v>127204544.99549541</v>
      </c>
      <c r="AL20" s="311">
        <f t="shared" si="14"/>
        <v>129252538.16992289</v>
      </c>
      <c r="AM20" s="311">
        <f t="shared" si="14"/>
        <v>131333504.03445865</v>
      </c>
      <c r="AN20" s="311">
        <f t="shared" ref="AN20:BE20" si="15">AM20+(AM20*$C$31)</f>
        <v>133447973.44941343</v>
      </c>
      <c r="AO20" s="311">
        <f t="shared" si="15"/>
        <v>135596485.82194898</v>
      </c>
      <c r="AP20" s="311">
        <f t="shared" si="15"/>
        <v>137779589.24368235</v>
      </c>
      <c r="AQ20" s="259">
        <f t="shared" si="15"/>
        <v>139997840.63050565</v>
      </c>
      <c r="AR20" s="259">
        <f t="shared" si="15"/>
        <v>142251805.86465681</v>
      </c>
      <c r="AS20" s="259">
        <f t="shared" si="15"/>
        <v>144542059.93907779</v>
      </c>
      <c r="AT20" s="259">
        <f t="shared" si="15"/>
        <v>146869187.10409695</v>
      </c>
      <c r="AU20" s="259">
        <f t="shared" si="15"/>
        <v>149233781.01647291</v>
      </c>
      <c r="AV20" s="259">
        <f t="shared" si="15"/>
        <v>151636444.89083812</v>
      </c>
      <c r="AW20" s="259">
        <f t="shared" si="15"/>
        <v>154077791.65358061</v>
      </c>
      <c r="AX20" s="259">
        <f t="shared" si="15"/>
        <v>156558444.09920326</v>
      </c>
      <c r="AY20" s="259">
        <f t="shared" si="15"/>
        <v>159079035.04920045</v>
      </c>
      <c r="AZ20" s="259">
        <f t="shared" si="15"/>
        <v>161640207.51349258</v>
      </c>
      <c r="BA20" s="259">
        <f t="shared" si="15"/>
        <v>164242614.85445982</v>
      </c>
      <c r="BB20" s="259">
        <f t="shared" si="15"/>
        <v>166886920.95361662</v>
      </c>
      <c r="BC20" s="259">
        <f t="shared" si="15"/>
        <v>169573800.38096985</v>
      </c>
      <c r="BD20" s="259">
        <f t="shared" si="15"/>
        <v>172303938.56710348</v>
      </c>
      <c r="BE20" s="259">
        <f t="shared" si="15"/>
        <v>175078031.97803384</v>
      </c>
    </row>
    <row r="21" spans="1:57" ht="24" customHeight="1" x14ac:dyDescent="0.25">
      <c r="A21" s="324" t="s">
        <v>336</v>
      </c>
      <c r="B21" s="236" t="s">
        <v>112</v>
      </c>
      <c r="C21" s="259">
        <f>+Alteracion_recreacion!F12</f>
        <v>8056271.8758339016</v>
      </c>
      <c r="D21" s="259">
        <f t="shared" si="0"/>
        <v>8184585.648600311</v>
      </c>
      <c r="E21" s="294">
        <f>F21+NPV($C$32,G21:BE21)</f>
        <v>87668109.296648756</v>
      </c>
      <c r="F21" s="311">
        <f t="shared" si="11"/>
        <v>8184585.648600311</v>
      </c>
      <c r="G21" s="311">
        <f>F21+(F21*$C$31)</f>
        <v>8316357.4775427757</v>
      </c>
      <c r="H21" s="311">
        <f t="shared" ref="H21:AM21" si="16">G21+(G21*$C$31)</f>
        <v>8450250.8329312149</v>
      </c>
      <c r="I21" s="311">
        <f t="shared" si="16"/>
        <v>8586299.8713414073</v>
      </c>
      <c r="J21" s="311">
        <f t="shared" si="16"/>
        <v>8724539.299270004</v>
      </c>
      <c r="K21" s="311">
        <f t="shared" si="16"/>
        <v>8865004.3819882516</v>
      </c>
      <c r="L21" s="311">
        <f t="shared" si="16"/>
        <v>9007730.9525382631</v>
      </c>
      <c r="M21" s="311">
        <f t="shared" si="16"/>
        <v>9152755.42087413</v>
      </c>
      <c r="N21" s="311">
        <f t="shared" si="16"/>
        <v>9300114.7831502035</v>
      </c>
      <c r="O21" s="311">
        <f t="shared" si="16"/>
        <v>9449846.6311589219</v>
      </c>
      <c r="P21" s="311">
        <f t="shared" si="16"/>
        <v>9601989.161920581</v>
      </c>
      <c r="Q21" s="311">
        <f t="shared" si="16"/>
        <v>9756581.1874275021</v>
      </c>
      <c r="R21" s="311">
        <f t="shared" si="16"/>
        <v>9913662.1445450857</v>
      </c>
      <c r="S21" s="311">
        <f t="shared" si="16"/>
        <v>10073272.105072262</v>
      </c>
      <c r="T21" s="311">
        <f t="shared" si="16"/>
        <v>10235451.785963925</v>
      </c>
      <c r="U21" s="311">
        <f t="shared" si="16"/>
        <v>10400242.559717944</v>
      </c>
      <c r="V21" s="311">
        <f t="shared" si="16"/>
        <v>10567686.464929402</v>
      </c>
      <c r="W21" s="311">
        <f t="shared" si="16"/>
        <v>10737826.217014765</v>
      </c>
      <c r="X21" s="311">
        <f t="shared" si="16"/>
        <v>10910705.219108703</v>
      </c>
      <c r="Y21" s="311">
        <f t="shared" si="16"/>
        <v>11086367.573136352</v>
      </c>
      <c r="Z21" s="311">
        <f t="shared" si="16"/>
        <v>11264858.091063848</v>
      </c>
      <c r="AA21" s="311">
        <f t="shared" si="16"/>
        <v>11446222.306329975</v>
      </c>
      <c r="AB21" s="311">
        <f t="shared" si="16"/>
        <v>11630506.485461887</v>
      </c>
      <c r="AC21" s="311">
        <f t="shared" si="16"/>
        <v>11817757.639877824</v>
      </c>
      <c r="AD21" s="311">
        <f t="shared" si="16"/>
        <v>12008023.537879856</v>
      </c>
      <c r="AE21" s="311">
        <f t="shared" si="16"/>
        <v>12201352.716839721</v>
      </c>
      <c r="AF21" s="311">
        <f t="shared" si="16"/>
        <v>12397794.495580841</v>
      </c>
      <c r="AG21" s="311">
        <f t="shared" si="16"/>
        <v>12597398.986959692</v>
      </c>
      <c r="AH21" s="311">
        <f t="shared" si="16"/>
        <v>12800217.110649742</v>
      </c>
      <c r="AI21" s="311">
        <f t="shared" si="16"/>
        <v>13006300.606131203</v>
      </c>
      <c r="AJ21" s="311">
        <f t="shared" si="16"/>
        <v>13215702.045889916</v>
      </c>
      <c r="AK21" s="311">
        <f t="shared" si="16"/>
        <v>13428474.848828744</v>
      </c>
      <c r="AL21" s="311">
        <f t="shared" si="16"/>
        <v>13644673.293894887</v>
      </c>
      <c r="AM21" s="311">
        <f t="shared" si="16"/>
        <v>13864352.533926595</v>
      </c>
      <c r="AN21" s="311">
        <f t="shared" ref="AN21:BE21" si="17">AM21+(AM21*$C$31)</f>
        <v>14087568.609722814</v>
      </c>
      <c r="AO21" s="311">
        <f t="shared" si="17"/>
        <v>14314378.464339351</v>
      </c>
      <c r="AP21" s="311">
        <f t="shared" si="17"/>
        <v>14544839.957615215</v>
      </c>
      <c r="AQ21" s="259">
        <f t="shared" si="17"/>
        <v>14779011.880932821</v>
      </c>
      <c r="AR21" s="259">
        <f t="shared" si="17"/>
        <v>15016953.972215839</v>
      </c>
      <c r="AS21" s="259">
        <f t="shared" si="17"/>
        <v>15258726.931168513</v>
      </c>
      <c r="AT21" s="259">
        <f t="shared" si="17"/>
        <v>15504392.434760327</v>
      </c>
      <c r="AU21" s="259">
        <f t="shared" si="17"/>
        <v>15754013.152959967</v>
      </c>
      <c r="AV21" s="259">
        <f t="shared" si="17"/>
        <v>16007652.764722623</v>
      </c>
      <c r="AW21" s="259">
        <f t="shared" si="17"/>
        <v>16265375.974234657</v>
      </c>
      <c r="AX21" s="259">
        <f t="shared" si="17"/>
        <v>16527248.527419835</v>
      </c>
      <c r="AY21" s="259">
        <f t="shared" si="17"/>
        <v>16793337.228711296</v>
      </c>
      <c r="AZ21" s="259">
        <f t="shared" si="17"/>
        <v>17063709.958093546</v>
      </c>
      <c r="BA21" s="259">
        <f t="shared" si="17"/>
        <v>17338435.688418854</v>
      </c>
      <c r="BB21" s="259">
        <f t="shared" si="17"/>
        <v>17617584.503002398</v>
      </c>
      <c r="BC21" s="259">
        <f t="shared" si="17"/>
        <v>17901227.613500737</v>
      </c>
      <c r="BD21" s="259">
        <f t="shared" si="17"/>
        <v>18189437.378078099</v>
      </c>
      <c r="BE21" s="259">
        <f t="shared" si="17"/>
        <v>18482287.319865156</v>
      </c>
    </row>
    <row r="22" spans="1:57" s="247" customFormat="1" x14ac:dyDescent="0.25">
      <c r="A22" s="241" t="s">
        <v>116</v>
      </c>
      <c r="B22" s="236" t="s">
        <v>364</v>
      </c>
      <c r="C22" s="259">
        <f>SUM(C13:C21)</f>
        <v>979910508.02214277</v>
      </c>
      <c r="D22" s="259">
        <f>SUM(D13:D21)</f>
        <v>995517728.8552599</v>
      </c>
      <c r="E22" s="294">
        <f>F22+NPV($C$32,G22:BE22)</f>
        <v>9725372569.8377991</v>
      </c>
      <c r="F22" s="313">
        <f>SUM(F13:F21)</f>
        <v>575866288.35354733</v>
      </c>
      <c r="G22" s="313">
        <f>SUM(G13:G21)</f>
        <v>585137735.59603941</v>
      </c>
      <c r="H22" s="313">
        <f>SUM(H13:H21)</f>
        <v>1011693773.4843317</v>
      </c>
      <c r="I22" s="313">
        <f>SUM(I13:I21)</f>
        <v>1027982043.2374296</v>
      </c>
      <c r="J22" s="313">
        <f>SUM(J13:J21)</f>
        <v>1044532554.1335522</v>
      </c>
      <c r="K22" s="313">
        <f>SUM(K13:K21)</f>
        <v>1061349528.2551024</v>
      </c>
      <c r="L22" s="313">
        <f>SUM(L13:L21)</f>
        <v>1078437255.6600096</v>
      </c>
      <c r="M22" s="313">
        <f>SUM(M13:M21)</f>
        <v>1095800095.4761357</v>
      </c>
      <c r="N22" s="313">
        <f>SUM(N13:N21)</f>
        <v>1113442477.0133014</v>
      </c>
      <c r="O22" s="313">
        <f>SUM(O13:O21)</f>
        <v>1131368900.8932154</v>
      </c>
      <c r="P22" s="313">
        <f>SUM(P13:P21)</f>
        <v>1149583940.1975963</v>
      </c>
      <c r="Q22" s="313">
        <f>SUM(Q13:Q21)</f>
        <v>1168092241.6347775</v>
      </c>
      <c r="R22" s="313">
        <f>SUM(R13:R21)</f>
        <v>1186898526.7250977</v>
      </c>
      <c r="S22" s="313">
        <f>SUM(S13:S21)</f>
        <v>1206007593.0053716</v>
      </c>
      <c r="T22" s="313">
        <f>SUM(T13:T21)</f>
        <v>1225424315.252758</v>
      </c>
      <c r="U22" s="313">
        <f>SUM(U13:U21)</f>
        <v>1245153646.7283273</v>
      </c>
      <c r="V22" s="313">
        <f>SUM(V13:V21)</f>
        <v>1265200620.4406533</v>
      </c>
      <c r="W22" s="313">
        <f>SUM(W13:W21)</f>
        <v>1285570350.4297478</v>
      </c>
      <c r="X22" s="313">
        <f>SUM(X13:X21)</f>
        <v>1306268033.071667</v>
      </c>
      <c r="Y22" s="313">
        <f>SUM(Y13:Y21)</f>
        <v>1327298948.4041209</v>
      </c>
      <c r="Z22" s="313">
        <f>SUM(Z13:Z21)</f>
        <v>1348668461.4734268</v>
      </c>
      <c r="AA22" s="313">
        <f>SUM(AA13:AA21)</f>
        <v>1370382023.7031493</v>
      </c>
      <c r="AB22" s="313">
        <f>SUM(AB13:AB21)</f>
        <v>1392445174.28477</v>
      </c>
      <c r="AC22" s="313">
        <f>SUM(AC13:AC21)</f>
        <v>1414863541.5907545</v>
      </c>
      <c r="AD22" s="313">
        <f>SUM(AD13:AD21)</f>
        <v>1437642844.6103661</v>
      </c>
      <c r="AE22" s="313">
        <f>SUM(AE13:AE21)</f>
        <v>1460788894.4085929</v>
      </c>
      <c r="AF22" s="313">
        <f>SUM(AF13:AF21)</f>
        <v>1484307595.6085713</v>
      </c>
      <c r="AG22" s="313">
        <f>SUM(AG13:AG21)</f>
        <v>1508204947.8978689</v>
      </c>
      <c r="AH22" s="313">
        <f>SUM(AH13:AH21)</f>
        <v>1532487047.559025</v>
      </c>
      <c r="AI22" s="313">
        <f>SUM(AI13:AI21)</f>
        <v>1557160089.0247252</v>
      </c>
      <c r="AJ22" s="313">
        <f>SUM(AJ13:AJ21)</f>
        <v>1582230366.4580231</v>
      </c>
      <c r="AK22" s="313">
        <f>SUM(AK13:AK21)</f>
        <v>1607704275.3579974</v>
      </c>
      <c r="AL22" s="313">
        <f>SUM(AL13:AL21)</f>
        <v>1633588314.1912613</v>
      </c>
      <c r="AM22" s="313">
        <f>SUM(AM13:AM21)</f>
        <v>1659889086.0497403</v>
      </c>
      <c r="AN22" s="313">
        <f>SUM(AN13:AN21)</f>
        <v>1686613300.3351414</v>
      </c>
      <c r="AO22" s="313">
        <f>SUM(AO13:AO21)</f>
        <v>1713767774.4705369</v>
      </c>
      <c r="AP22" s="313">
        <f>SUM(AP13:AP21)</f>
        <v>1741359435.6395128</v>
      </c>
      <c r="AQ22" s="313">
        <f>SUM(AQ13:AQ21)</f>
        <v>1769395322.5533087</v>
      </c>
      <c r="AR22" s="313">
        <f>SUM(AR13:AR21)</f>
        <v>1797882587.2464173</v>
      </c>
      <c r="AS22" s="313">
        <f>SUM(AS13:AS21)</f>
        <v>1826828496.9010847</v>
      </c>
      <c r="AT22" s="313">
        <f>SUM(AT13:AT21)</f>
        <v>1856240435.7011919</v>
      </c>
      <c r="AU22" s="313">
        <f>SUM(AU13:AU21)</f>
        <v>1886125906.7159812</v>
      </c>
      <c r="AV22" s="313">
        <f>SUM(AV13:AV21)</f>
        <v>1916492533.8141081</v>
      </c>
      <c r="AW22" s="313">
        <f>SUM(AW13:AW21)</f>
        <v>1947348063.6085157</v>
      </c>
      <c r="AX22" s="313">
        <f>SUM(AX13:AX21)</f>
        <v>1978700367.4326124</v>
      </c>
      <c r="AY22" s="313">
        <f>SUM(AY13:AY21)</f>
        <v>2010557443.3482778</v>
      </c>
      <c r="AZ22" s="313">
        <f>SUM(AZ13:AZ21)</f>
        <v>2042927418.1861851</v>
      </c>
      <c r="BA22" s="313">
        <f>SUM(BA13:BA21)</f>
        <v>2075818549.6189826</v>
      </c>
      <c r="BB22" s="313">
        <f>SUM(BB13:BB21)</f>
        <v>2109239228.2678483</v>
      </c>
      <c r="BC22" s="313">
        <f>SUM(BC13:BC21)</f>
        <v>2143197979.8429608</v>
      </c>
      <c r="BD22" s="313">
        <f>SUM(BD13:BD21)</f>
        <v>2177703467.3184323</v>
      </c>
      <c r="BE22" s="313">
        <f>SUM(BE13:BE21)</f>
        <v>2212764493.1422591</v>
      </c>
    </row>
    <row r="23" spans="1:57" x14ac:dyDescent="0.25">
      <c r="A23" s="241" t="s">
        <v>117</v>
      </c>
      <c r="B23" s="236" t="s">
        <v>364</v>
      </c>
      <c r="C23" s="314"/>
      <c r="D23" s="294">
        <f>+E22</f>
        <v>9725372569.8377991</v>
      </c>
      <c r="E23" s="294"/>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1"/>
      <c r="AM23" s="311"/>
      <c r="AN23" s="311"/>
      <c r="AO23" s="311"/>
      <c r="AP23" s="311"/>
      <c r="AQ23" s="236"/>
      <c r="AR23" s="236"/>
      <c r="AS23" s="236"/>
    </row>
    <row r="24" spans="1:57" s="247" customFormat="1" x14ac:dyDescent="0.25">
      <c r="A24" s="487" t="s">
        <v>118</v>
      </c>
      <c r="B24" s="486" t="s">
        <v>364</v>
      </c>
      <c r="C24" s="487"/>
      <c r="D24" s="488"/>
      <c r="E24" s="489">
        <v>12519999836.859406</v>
      </c>
      <c r="F24" s="490">
        <v>1409215858.9999704</v>
      </c>
      <c r="G24" s="490">
        <v>3394344851.0313702</v>
      </c>
      <c r="H24" s="490">
        <v>1855735633.991087</v>
      </c>
      <c r="I24" s="490">
        <v>1473263626.1062992</v>
      </c>
      <c r="J24" s="490">
        <v>1433384877.9264812</v>
      </c>
      <c r="K24" s="490">
        <v>1051170382.9437087</v>
      </c>
      <c r="L24" s="490">
        <v>963613386.2308538</v>
      </c>
      <c r="M24" s="490">
        <v>1013916941.9773517</v>
      </c>
      <c r="N24" s="490">
        <v>974471904.76673555</v>
      </c>
      <c r="O24" s="490">
        <v>1031043449.7515988</v>
      </c>
      <c r="P24" s="490">
        <v>991874149.31614804</v>
      </c>
      <c r="Q24" s="490">
        <v>1048725870.4382572</v>
      </c>
      <c r="R24" s="490">
        <v>565304643.64394593</v>
      </c>
      <c r="S24" s="490">
        <v>1060691302.0512171</v>
      </c>
      <c r="T24" s="490">
        <v>583653985.78595996</v>
      </c>
      <c r="U24" s="490">
        <v>1079336068.6017175</v>
      </c>
      <c r="V24" s="490">
        <v>602598933.07792354</v>
      </c>
      <c r="W24" s="490">
        <v>606009829.420403</v>
      </c>
      <c r="X24" s="490">
        <v>615766587.67407131</v>
      </c>
      <c r="Y24" s="490">
        <v>625680429.73562384</v>
      </c>
      <c r="Z24" s="490">
        <v>635753884.65436769</v>
      </c>
      <c r="AA24" s="490">
        <v>645989522.19730282</v>
      </c>
      <c r="AB24" s="490">
        <v>649997722.78627491</v>
      </c>
      <c r="AC24" s="490">
        <v>660462686.1231339</v>
      </c>
      <c r="AD24" s="490">
        <v>671096135.36971593</v>
      </c>
      <c r="AE24" s="490">
        <v>681900783.14916873</v>
      </c>
      <c r="AF24" s="490">
        <v>692879385.75786996</v>
      </c>
      <c r="AG24" s="490">
        <v>697539598.23560119</v>
      </c>
      <c r="AH24" s="490">
        <v>708769985.76719403</v>
      </c>
      <c r="AI24" s="490">
        <v>720181182.53804636</v>
      </c>
      <c r="AJ24" s="490">
        <v>731776099.57690859</v>
      </c>
      <c r="AK24" s="490">
        <v>743557694.78009677</v>
      </c>
      <c r="AL24" s="490">
        <v>748929256.18839502</v>
      </c>
      <c r="AM24" s="490">
        <v>760987017.21302843</v>
      </c>
      <c r="AN24" s="490">
        <v>773238908.19015789</v>
      </c>
      <c r="AO24" s="490">
        <v>785688054.61202002</v>
      </c>
      <c r="AP24" s="490">
        <v>798337632.29127288</v>
      </c>
      <c r="AQ24" s="490">
        <v>804484895.24211073</v>
      </c>
      <c r="AR24" s="490">
        <v>817437102.0555079</v>
      </c>
      <c r="AS24" s="490">
        <v>830597839.39860201</v>
      </c>
      <c r="AT24" s="490">
        <v>843970464.61291933</v>
      </c>
      <c r="AU24" s="490">
        <v>857558389.09318757</v>
      </c>
      <c r="AV24" s="490">
        <v>864551140.06437898</v>
      </c>
      <c r="AW24" s="490">
        <v>878470413.419415</v>
      </c>
      <c r="AX24" s="490">
        <v>892613787.07546759</v>
      </c>
      <c r="AY24" s="490">
        <v>906984869.04738212</v>
      </c>
      <c r="AZ24" s="490">
        <v>921587325.43904543</v>
      </c>
      <c r="BA24" s="490">
        <v>929501237.86600351</v>
      </c>
      <c r="BB24" s="490">
        <v>944466207.79564595</v>
      </c>
      <c r="BC24" s="490">
        <v>959672113.7411561</v>
      </c>
      <c r="BD24" s="490">
        <v>975122834.77238846</v>
      </c>
      <c r="BE24" s="490">
        <v>990822312.41222334</v>
      </c>
    </row>
    <row r="25" spans="1:57" x14ac:dyDescent="0.25">
      <c r="A25" s="241" t="s">
        <v>119</v>
      </c>
      <c r="B25" s="236" t="s">
        <v>364</v>
      </c>
      <c r="C25" s="314"/>
      <c r="D25" s="489">
        <v>12519999836.859406</v>
      </c>
      <c r="E25" s="294"/>
      <c r="F25" s="311"/>
      <c r="G25" s="311"/>
      <c r="H25" s="311"/>
      <c r="I25" s="311"/>
      <c r="J25" s="311"/>
      <c r="K25" s="311"/>
      <c r="L25" s="311"/>
      <c r="M25" s="311"/>
      <c r="N25" s="311"/>
      <c r="O25" s="311"/>
      <c r="P25" s="311"/>
      <c r="Q25" s="311"/>
      <c r="R25" s="311"/>
      <c r="S25" s="311"/>
      <c r="T25" s="311"/>
      <c r="U25" s="311"/>
      <c r="V25" s="311"/>
      <c r="W25" s="311"/>
      <c r="X25" s="311"/>
      <c r="Y25" s="311"/>
      <c r="Z25" s="311"/>
      <c r="AA25" s="311"/>
      <c r="AB25" s="311"/>
      <c r="AC25" s="311"/>
      <c r="AD25" s="311"/>
      <c r="AE25" s="311"/>
      <c r="AF25" s="311"/>
      <c r="AG25" s="311"/>
      <c r="AH25" s="311"/>
      <c r="AI25" s="311"/>
      <c r="AJ25" s="311"/>
      <c r="AK25" s="311"/>
      <c r="AL25" s="311"/>
      <c r="AM25" s="311"/>
      <c r="AN25" s="311"/>
      <c r="AO25" s="311"/>
      <c r="AP25" s="311"/>
      <c r="AQ25" s="236"/>
      <c r="AR25" s="236"/>
      <c r="AS25" s="236"/>
    </row>
    <row r="26" spans="1:57" ht="9" customHeight="1" x14ac:dyDescent="0.25">
      <c r="A26" s="247"/>
      <c r="B26" s="30"/>
    </row>
    <row r="27" spans="1:57" x14ac:dyDescent="0.25">
      <c r="A27" s="241" t="s">
        <v>120</v>
      </c>
      <c r="B27" s="347">
        <f>+D11/D23</f>
        <v>2.001677074632553</v>
      </c>
      <c r="F27" s="319"/>
    </row>
    <row r="28" spans="1:57" ht="11.25" hidden="1" customHeight="1" x14ac:dyDescent="0.25">
      <c r="A28" s="241" t="s">
        <v>121</v>
      </c>
      <c r="B28" s="348" t="e">
        <f>IRR(F24:I24)</f>
        <v>#NUM!</v>
      </c>
      <c r="F28" s="319"/>
    </row>
    <row r="29" spans="1:57" ht="11.25" customHeight="1" x14ac:dyDescent="0.25">
      <c r="A29" s="247"/>
      <c r="B29" s="30"/>
      <c r="F29" s="403"/>
    </row>
    <row r="30" spans="1:57" x14ac:dyDescent="0.25">
      <c r="A30" s="241" t="s">
        <v>30</v>
      </c>
      <c r="F30" s="403"/>
    </row>
    <row r="31" spans="1:57" ht="14.25" customHeight="1" x14ac:dyDescent="0.25">
      <c r="A31" s="236" t="s">
        <v>122</v>
      </c>
      <c r="C31" s="345">
        <v>1.61E-2</v>
      </c>
      <c r="D31" s="318"/>
      <c r="E31" s="296"/>
      <c r="F31" s="319"/>
      <c r="AF31" s="30"/>
      <c r="AL31" s="30"/>
    </row>
    <row r="32" spans="1:57" ht="14.25" customHeight="1" x14ac:dyDescent="0.25">
      <c r="A32" s="236" t="s">
        <v>379</v>
      </c>
      <c r="C32" s="346">
        <v>0.12</v>
      </c>
      <c r="D32" s="349"/>
      <c r="E32" s="296"/>
    </row>
    <row r="34" spans="1:5" ht="48.75" customHeight="1" x14ac:dyDescent="0.25">
      <c r="A34" s="400" t="s">
        <v>315</v>
      </c>
      <c r="B34" s="400"/>
      <c r="C34" s="400"/>
      <c r="D34" s="400"/>
      <c r="E34" s="400"/>
    </row>
    <row r="35" spans="1:5" ht="30.75" customHeight="1" x14ac:dyDescent="0.25">
      <c r="A35" s="400" t="s">
        <v>383</v>
      </c>
      <c r="B35" s="400"/>
      <c r="C35" s="400"/>
      <c r="D35" s="400"/>
      <c r="E35" s="400"/>
    </row>
    <row r="36" spans="1:5" ht="22.5" customHeight="1" x14ac:dyDescent="0.25">
      <c r="A36" s="401" t="s">
        <v>382</v>
      </c>
      <c r="B36" s="401"/>
      <c r="C36" s="401"/>
      <c r="D36" s="401"/>
      <c r="E36" s="401"/>
    </row>
    <row r="37" spans="1:5" ht="22.5" customHeight="1" x14ac:dyDescent="0.25">
      <c r="A37" s="401" t="s">
        <v>452</v>
      </c>
      <c r="B37" s="401"/>
      <c r="C37" s="350"/>
      <c r="D37" s="351"/>
      <c r="E37" s="350"/>
    </row>
    <row r="39" spans="1:5" ht="25.5" customHeight="1" x14ac:dyDescent="0.25">
      <c r="A39" s="402" t="s">
        <v>454</v>
      </c>
      <c r="B39" s="402"/>
      <c r="C39" s="402"/>
    </row>
  </sheetData>
  <mergeCells count="8">
    <mergeCell ref="H1:BE1"/>
    <mergeCell ref="A34:E34"/>
    <mergeCell ref="A36:E36"/>
    <mergeCell ref="A39:C39"/>
    <mergeCell ref="A37:B37"/>
    <mergeCell ref="A35:E35"/>
    <mergeCell ref="F29:F30"/>
    <mergeCell ref="F1:G1"/>
  </mergeCells>
  <pageMargins left="0.7" right="0.7" top="0.75" bottom="0.75" header="0.3" footer="0.3"/>
  <pageSetup paperSize="1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A1:G29"/>
  <sheetViews>
    <sheetView workbookViewId="0">
      <selection activeCell="C25" sqref="C25"/>
    </sheetView>
  </sheetViews>
  <sheetFormatPr baseColWidth="10" defaultColWidth="11.42578125" defaultRowHeight="12.75" x14ac:dyDescent="0.25"/>
  <cols>
    <col min="1" max="1" width="45.28515625" style="261" customWidth="1"/>
    <col min="2" max="2" width="17.85546875" style="261" customWidth="1"/>
    <col min="3" max="3" width="12.140625" style="261" customWidth="1"/>
    <col min="4" max="4" width="26.85546875" style="261" customWidth="1"/>
    <col min="5" max="5" width="16.28515625" style="261" customWidth="1"/>
    <col min="6" max="7" width="16.85546875" style="261" customWidth="1"/>
    <col min="8" max="16384" width="11.42578125" style="261"/>
  </cols>
  <sheetData>
    <row r="1" spans="1:7" ht="15" x14ac:dyDescent="0.25">
      <c r="A1" s="274" t="s">
        <v>287</v>
      </c>
    </row>
    <row r="3" spans="1:7" x14ac:dyDescent="0.25">
      <c r="A3" s="262" t="s">
        <v>282</v>
      </c>
      <c r="B3" s="262" t="s">
        <v>31</v>
      </c>
      <c r="D3" s="352" t="s">
        <v>386</v>
      </c>
      <c r="E3" s="352" t="s">
        <v>15</v>
      </c>
      <c r="F3" s="352" t="s">
        <v>387</v>
      </c>
      <c r="G3" s="352" t="s">
        <v>388</v>
      </c>
    </row>
    <row r="4" spans="1:7" s="263" customFormat="1" x14ac:dyDescent="0.25">
      <c r="A4" s="267" t="s">
        <v>288</v>
      </c>
      <c r="B4" s="264">
        <f>+G29</f>
        <v>18380886000</v>
      </c>
      <c r="C4" s="278"/>
      <c r="D4" s="353" t="s">
        <v>368</v>
      </c>
      <c r="E4" s="353"/>
      <c r="F4" s="353"/>
      <c r="G4" s="353"/>
    </row>
    <row r="5" spans="1:7" ht="13.5" x14ac:dyDescent="0.25">
      <c r="A5" s="267" t="s">
        <v>283</v>
      </c>
      <c r="B5" s="265">
        <v>877803</v>
      </c>
      <c r="D5" s="354" t="s">
        <v>389</v>
      </c>
      <c r="E5" s="355" t="s">
        <v>390</v>
      </c>
      <c r="F5" s="355" t="s">
        <v>391</v>
      </c>
      <c r="G5" s="356">
        <v>216000000</v>
      </c>
    </row>
    <row r="6" spans="1:7" x14ac:dyDescent="0.25">
      <c r="A6" s="267" t="s">
        <v>284</v>
      </c>
      <c r="B6" s="265">
        <f>+B4/B5</f>
        <v>20939.648189855812</v>
      </c>
      <c r="D6" s="354" t="s">
        <v>369</v>
      </c>
      <c r="E6" s="355">
        <v>2</v>
      </c>
      <c r="F6" s="355" t="s">
        <v>392</v>
      </c>
      <c r="G6" s="356">
        <v>1000000000</v>
      </c>
    </row>
    <row r="7" spans="1:7" ht="26.25" thickBot="1" x14ac:dyDescent="0.3">
      <c r="A7" s="280" t="s">
        <v>285</v>
      </c>
      <c r="B7" s="281">
        <v>4.0000000000000001E-3</v>
      </c>
      <c r="C7" s="227"/>
      <c r="D7" s="354" t="s">
        <v>393</v>
      </c>
      <c r="E7" s="355" t="s">
        <v>394</v>
      </c>
      <c r="F7" s="355" t="s">
        <v>395</v>
      </c>
      <c r="G7" s="356">
        <v>37504000</v>
      </c>
    </row>
    <row r="8" spans="1:7" ht="14.25" thickBot="1" x14ac:dyDescent="0.3">
      <c r="A8" s="282" t="s">
        <v>365</v>
      </c>
      <c r="B8" s="283">
        <f>+B4*B7</f>
        <v>73523544</v>
      </c>
      <c r="D8" s="354" t="s">
        <v>396</v>
      </c>
      <c r="E8" s="355" t="s">
        <v>397</v>
      </c>
      <c r="F8" s="355" t="s">
        <v>398</v>
      </c>
      <c r="G8" s="356">
        <v>124080000</v>
      </c>
    </row>
    <row r="9" spans="1:7" ht="13.5" x14ac:dyDescent="0.25">
      <c r="A9" s="279" t="s">
        <v>286</v>
      </c>
      <c r="B9" s="227"/>
      <c r="D9" s="354" t="s">
        <v>399</v>
      </c>
      <c r="E9" s="355" t="s">
        <v>400</v>
      </c>
      <c r="F9" s="355" t="s">
        <v>401</v>
      </c>
      <c r="G9" s="356">
        <v>31000000</v>
      </c>
    </row>
    <row r="10" spans="1:7" x14ac:dyDescent="0.25">
      <c r="A10" s="279"/>
      <c r="B10" s="266"/>
      <c r="D10" s="354" t="s">
        <v>402</v>
      </c>
      <c r="E10" s="355">
        <v>433</v>
      </c>
      <c r="F10" s="355" t="s">
        <v>403</v>
      </c>
      <c r="G10" s="356">
        <v>194850000</v>
      </c>
    </row>
    <row r="11" spans="1:7" ht="13.5" x14ac:dyDescent="0.25">
      <c r="D11" s="354" t="s">
        <v>404</v>
      </c>
      <c r="E11" s="355" t="s">
        <v>405</v>
      </c>
      <c r="F11" s="355" t="s">
        <v>406</v>
      </c>
      <c r="G11" s="356">
        <v>4602400000</v>
      </c>
    </row>
    <row r="12" spans="1:7" x14ac:dyDescent="0.25">
      <c r="D12" s="354" t="s">
        <v>370</v>
      </c>
      <c r="E12" s="355" t="s">
        <v>407</v>
      </c>
      <c r="F12" s="355" t="s">
        <v>408</v>
      </c>
      <c r="G12" s="356">
        <v>3138000000</v>
      </c>
    </row>
    <row r="13" spans="1:7" x14ac:dyDescent="0.25">
      <c r="B13" s="227"/>
      <c r="D13" s="353" t="s">
        <v>371</v>
      </c>
      <c r="E13" s="353"/>
      <c r="F13" s="353"/>
      <c r="G13" s="357"/>
    </row>
    <row r="14" spans="1:7" x14ac:dyDescent="0.25">
      <c r="D14" s="354" t="s">
        <v>409</v>
      </c>
      <c r="E14" s="355">
        <v>162</v>
      </c>
      <c r="F14" s="355" t="s">
        <v>406</v>
      </c>
      <c r="G14" s="356">
        <v>178200000</v>
      </c>
    </row>
    <row r="15" spans="1:7" x14ac:dyDescent="0.25">
      <c r="D15" s="354" t="s">
        <v>372</v>
      </c>
      <c r="E15" s="355">
        <v>315</v>
      </c>
      <c r="F15" s="355" t="s">
        <v>410</v>
      </c>
      <c r="G15" s="356">
        <v>945000000</v>
      </c>
    </row>
    <row r="16" spans="1:7" x14ac:dyDescent="0.25">
      <c r="D16" s="353" t="s">
        <v>373</v>
      </c>
      <c r="E16" s="353"/>
      <c r="F16" s="353"/>
      <c r="G16" s="357"/>
    </row>
    <row r="17" spans="4:7" x14ac:dyDescent="0.25">
      <c r="D17" s="354" t="s">
        <v>411</v>
      </c>
      <c r="E17" s="355">
        <v>120</v>
      </c>
      <c r="F17" s="355" t="s">
        <v>412</v>
      </c>
      <c r="G17" s="356">
        <v>540000000</v>
      </c>
    </row>
    <row r="18" spans="4:7" x14ac:dyDescent="0.25">
      <c r="D18" s="354" t="s">
        <v>413</v>
      </c>
      <c r="E18" s="355">
        <v>500</v>
      </c>
      <c r="F18" s="355" t="s">
        <v>414</v>
      </c>
      <c r="G18" s="356">
        <v>6000000000</v>
      </c>
    </row>
    <row r="19" spans="4:7" x14ac:dyDescent="0.25">
      <c r="D19" s="354" t="s">
        <v>415</v>
      </c>
      <c r="E19" s="355">
        <v>72</v>
      </c>
      <c r="F19" s="355" t="s">
        <v>412</v>
      </c>
      <c r="G19" s="356">
        <v>324000000</v>
      </c>
    </row>
    <row r="20" spans="4:7" x14ac:dyDescent="0.25">
      <c r="D20" s="354" t="s">
        <v>416</v>
      </c>
      <c r="E20" s="355">
        <v>50</v>
      </c>
      <c r="F20" s="355" t="s">
        <v>406</v>
      </c>
      <c r="G20" s="356">
        <v>55000000</v>
      </c>
    </row>
    <row r="21" spans="4:7" x14ac:dyDescent="0.25">
      <c r="D21" s="354" t="s">
        <v>417</v>
      </c>
      <c r="E21" s="355" t="s">
        <v>418</v>
      </c>
      <c r="F21" s="355" t="s">
        <v>408</v>
      </c>
      <c r="G21" s="356">
        <v>37500000</v>
      </c>
    </row>
    <row r="22" spans="4:7" x14ac:dyDescent="0.25">
      <c r="D22" s="354" t="s">
        <v>419</v>
      </c>
      <c r="E22" s="355">
        <v>3</v>
      </c>
      <c r="F22" s="355" t="s">
        <v>420</v>
      </c>
      <c r="G22" s="356">
        <v>7500000</v>
      </c>
    </row>
    <row r="23" spans="4:7" x14ac:dyDescent="0.25">
      <c r="D23" s="353" t="s">
        <v>374</v>
      </c>
      <c r="E23" s="353"/>
      <c r="F23" s="353"/>
      <c r="G23" s="357"/>
    </row>
    <row r="24" spans="4:7" ht="13.5" x14ac:dyDescent="0.25">
      <c r="D24" s="354" t="s">
        <v>393</v>
      </c>
      <c r="E24" s="355">
        <v>294</v>
      </c>
      <c r="F24" s="355" t="s">
        <v>395</v>
      </c>
      <c r="G24" s="356">
        <v>2352000</v>
      </c>
    </row>
    <row r="25" spans="4:7" ht="13.5" x14ac:dyDescent="0.25">
      <c r="D25" s="354" t="s">
        <v>396</v>
      </c>
      <c r="E25" s="355">
        <v>225</v>
      </c>
      <c r="F25" s="355" t="s">
        <v>398</v>
      </c>
      <c r="G25" s="356">
        <v>18000000</v>
      </c>
    </row>
    <row r="26" spans="4:7" ht="13.5" x14ac:dyDescent="0.25">
      <c r="D26" s="354" t="s">
        <v>399</v>
      </c>
      <c r="E26" s="355">
        <v>225</v>
      </c>
      <c r="F26" s="355" t="s">
        <v>401</v>
      </c>
      <c r="G26" s="356">
        <v>4500000</v>
      </c>
    </row>
    <row r="27" spans="4:7" ht="13.5" x14ac:dyDescent="0.25">
      <c r="D27" s="354" t="s">
        <v>404</v>
      </c>
      <c r="E27" s="355">
        <v>500</v>
      </c>
      <c r="F27" s="355" t="s">
        <v>406</v>
      </c>
      <c r="G27" s="356">
        <v>550000000</v>
      </c>
    </row>
    <row r="28" spans="4:7" x14ac:dyDescent="0.25">
      <c r="D28" s="354" t="s">
        <v>370</v>
      </c>
      <c r="E28" s="355" t="s">
        <v>421</v>
      </c>
      <c r="F28" s="355" t="s">
        <v>408</v>
      </c>
      <c r="G28" s="356">
        <v>375000000</v>
      </c>
    </row>
    <row r="29" spans="4:7" x14ac:dyDescent="0.25">
      <c r="D29" s="449" t="s">
        <v>422</v>
      </c>
      <c r="E29" s="449"/>
      <c r="F29" s="449"/>
      <c r="G29" s="358">
        <f>SUM(G5:G28)</f>
        <v>18380886000</v>
      </c>
    </row>
  </sheetData>
  <mergeCells count="1">
    <mergeCell ref="D29:F2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249977111117893"/>
  </sheetPr>
  <dimension ref="A1:L21"/>
  <sheetViews>
    <sheetView workbookViewId="0">
      <selection activeCell="C7" sqref="C7"/>
    </sheetView>
  </sheetViews>
  <sheetFormatPr baseColWidth="10" defaultColWidth="11.42578125" defaultRowHeight="12.75" x14ac:dyDescent="0.2"/>
  <cols>
    <col min="1" max="3" width="15" style="29" customWidth="1"/>
    <col min="4" max="5" width="15" style="30" customWidth="1"/>
    <col min="6" max="9" width="15" style="29" customWidth="1"/>
    <col min="10" max="10" width="30.42578125" style="29" customWidth="1"/>
    <col min="11" max="11" width="15.85546875" style="29" bestFit="1" customWidth="1"/>
    <col min="12" max="12" width="32.85546875" style="29" customWidth="1"/>
    <col min="13" max="16384" width="11.42578125" style="29"/>
  </cols>
  <sheetData>
    <row r="1" spans="1:12" ht="15.75" x14ac:dyDescent="0.25">
      <c r="A1" s="94" t="s">
        <v>376</v>
      </c>
      <c r="B1" s="94"/>
      <c r="C1" s="94"/>
      <c r="D1" s="95"/>
      <c r="E1" s="95"/>
    </row>
    <row r="3" spans="1:12" ht="25.5" customHeight="1" x14ac:dyDescent="0.2">
      <c r="A3" s="26" t="s">
        <v>21</v>
      </c>
    </row>
    <row r="4" spans="1:12" ht="20.25" customHeight="1" thickBot="1" x14ac:dyDescent="0.25">
      <c r="A4" s="26"/>
    </row>
    <row r="5" spans="1:12" ht="88.5" customHeight="1" x14ac:dyDescent="0.2">
      <c r="A5" s="241" t="s">
        <v>180</v>
      </c>
      <c r="B5" s="241" t="s">
        <v>23</v>
      </c>
      <c r="C5" s="241" t="s">
        <v>24</v>
      </c>
      <c r="D5" s="241" t="s">
        <v>25</v>
      </c>
      <c r="E5" s="241" t="s">
        <v>26</v>
      </c>
      <c r="F5" s="325" t="s">
        <v>27</v>
      </c>
      <c r="G5" s="326" t="s">
        <v>28</v>
      </c>
      <c r="H5" s="327" t="s">
        <v>29</v>
      </c>
      <c r="J5" s="241" t="s">
        <v>30</v>
      </c>
      <c r="K5" s="241" t="s">
        <v>31</v>
      </c>
      <c r="L5" s="241" t="s">
        <v>32</v>
      </c>
    </row>
    <row r="6" spans="1:12" ht="51.75" customHeight="1" thickBot="1" x14ac:dyDescent="0.25">
      <c r="A6" s="244">
        <v>3.62</v>
      </c>
      <c r="B6" s="244">
        <v>684490</v>
      </c>
      <c r="C6" s="244">
        <f>B6/1000</f>
        <v>684.49</v>
      </c>
      <c r="D6" s="328">
        <f>C6*0.5</f>
        <v>342.245</v>
      </c>
      <c r="E6" s="328">
        <f>D6*(44/12)</f>
        <v>1254.8983333333333</v>
      </c>
      <c r="F6" s="329">
        <f>E6*$K$6</f>
        <v>6274.4916666666668</v>
      </c>
      <c r="G6" s="330">
        <f>F6*$K$7</f>
        <v>23621327.797833335</v>
      </c>
      <c r="H6" s="331">
        <f>G6/A6</f>
        <v>6525228.6734346226</v>
      </c>
      <c r="J6" s="332" t="s">
        <v>33</v>
      </c>
      <c r="K6" s="333">
        <v>5</v>
      </c>
      <c r="L6" s="332" t="s">
        <v>34</v>
      </c>
    </row>
    <row r="7" spans="1:12" ht="36.75" customHeight="1" x14ac:dyDescent="0.2">
      <c r="A7" s="334"/>
      <c r="B7" s="335"/>
      <c r="C7" s="336">
        <f>+C6/A6</f>
        <v>189.08563535911603</v>
      </c>
      <c r="D7" s="337"/>
      <c r="E7" s="338"/>
      <c r="F7" s="27"/>
      <c r="G7" s="27"/>
      <c r="H7" s="28"/>
      <c r="I7" s="93"/>
      <c r="J7" s="258" t="s">
        <v>35</v>
      </c>
      <c r="K7" s="328">
        <v>3764.66</v>
      </c>
      <c r="L7" s="332" t="s">
        <v>42</v>
      </c>
    </row>
    <row r="8" spans="1:12" ht="25.5" x14ac:dyDescent="0.2">
      <c r="J8" s="242" t="s">
        <v>36</v>
      </c>
      <c r="K8" s="339">
        <f>K6*K7</f>
        <v>18823.3</v>
      </c>
      <c r="L8" s="236"/>
    </row>
    <row r="9" spans="1:12" ht="15.75" customHeight="1" x14ac:dyDescent="0.2"/>
    <row r="10" spans="1:12" s="23" customFormat="1" x14ac:dyDescent="0.2">
      <c r="A10" s="302" t="s">
        <v>43</v>
      </c>
      <c r="D10" s="24"/>
      <c r="E10" s="24"/>
    </row>
    <row r="11" spans="1:12" s="23" customFormat="1" ht="13.5" thickBot="1" x14ac:dyDescent="0.25">
      <c r="A11" s="302"/>
      <c r="D11" s="24"/>
      <c r="E11" s="24"/>
    </row>
    <row r="12" spans="1:12" s="23" customFormat="1" ht="60.75" customHeight="1" x14ac:dyDescent="0.2">
      <c r="A12" s="340" t="s">
        <v>22</v>
      </c>
      <c r="B12" s="340" t="s">
        <v>44</v>
      </c>
      <c r="C12" s="340" t="s">
        <v>45</v>
      </c>
      <c r="D12" s="341" t="s">
        <v>51</v>
      </c>
      <c r="E12" s="342" t="s">
        <v>46</v>
      </c>
      <c r="G12" s="309" t="s">
        <v>93</v>
      </c>
      <c r="H12" s="309" t="s">
        <v>31</v>
      </c>
      <c r="I12" s="450" t="s">
        <v>105</v>
      </c>
      <c r="J12" s="450"/>
    </row>
    <row r="13" spans="1:12" s="24" customFormat="1" ht="71.25" customHeight="1" thickBot="1" x14ac:dyDescent="0.3">
      <c r="A13" s="236" t="s">
        <v>182</v>
      </c>
      <c r="B13" s="268">
        <v>309.69</v>
      </c>
      <c r="C13" s="157">
        <v>544.97</v>
      </c>
      <c r="D13" s="343">
        <f>+$H$15</f>
        <v>153891.36210173339</v>
      </c>
      <c r="E13" s="344">
        <f>B13*D13</f>
        <v>47658615.929285817</v>
      </c>
      <c r="G13" s="157" t="s">
        <v>47</v>
      </c>
      <c r="H13" s="158">
        <v>472192.7</v>
      </c>
      <c r="I13" s="458" t="s">
        <v>48</v>
      </c>
      <c r="J13" s="458"/>
    </row>
    <row r="14" spans="1:12" s="23" customFormat="1" ht="63.75" x14ac:dyDescent="0.2">
      <c r="D14" s="24"/>
      <c r="E14" s="24"/>
      <c r="G14" s="157" t="s">
        <v>50</v>
      </c>
      <c r="H14" s="159">
        <f>H13*(105.29/96.92)</f>
        <v>512971.20700577804</v>
      </c>
      <c r="I14" s="458" t="s">
        <v>184</v>
      </c>
      <c r="J14" s="458"/>
    </row>
    <row r="15" spans="1:12" s="23" customFormat="1" ht="38.25" customHeight="1" x14ac:dyDescent="0.2">
      <c r="D15" s="24"/>
      <c r="E15" s="24"/>
      <c r="G15" s="157" t="s">
        <v>49</v>
      </c>
      <c r="H15" s="160">
        <f>+H14*0.3</f>
        <v>153891.36210173339</v>
      </c>
      <c r="I15" s="458" t="s">
        <v>104</v>
      </c>
      <c r="J15" s="458"/>
    </row>
    <row r="16" spans="1:12" s="23" customFormat="1" x14ac:dyDescent="0.2">
      <c r="A16" s="457"/>
      <c r="B16" s="457"/>
      <c r="C16" s="457"/>
      <c r="D16" s="25"/>
      <c r="E16" s="24"/>
    </row>
    <row r="17" spans="1:5" s="23" customFormat="1" x14ac:dyDescent="0.2">
      <c r="A17" s="23" t="s">
        <v>181</v>
      </c>
      <c r="E17" s="24"/>
    </row>
    <row r="18" spans="1:5" s="23" customFormat="1" ht="7.5" customHeight="1" thickBot="1" x14ac:dyDescent="0.25">
      <c r="E18" s="24"/>
    </row>
    <row r="19" spans="1:5" s="24" customFormat="1" ht="30.75" customHeight="1" x14ac:dyDescent="0.25">
      <c r="A19" s="451" t="s">
        <v>21</v>
      </c>
      <c r="B19" s="452"/>
      <c r="C19" s="452"/>
      <c r="D19" s="452"/>
      <c r="E19" s="96">
        <f>+G6</f>
        <v>23621327.797833335</v>
      </c>
    </row>
    <row r="20" spans="1:5" s="24" customFormat="1" ht="30.75" customHeight="1" thickBot="1" x14ac:dyDescent="0.3">
      <c r="A20" s="453" t="s">
        <v>43</v>
      </c>
      <c r="B20" s="454"/>
      <c r="C20" s="454"/>
      <c r="D20" s="454"/>
      <c r="E20" s="284">
        <f>+E13</f>
        <v>47658615.929285817</v>
      </c>
    </row>
    <row r="21" spans="1:5" ht="13.5" thickBot="1" x14ac:dyDescent="0.25">
      <c r="A21" s="455" t="s">
        <v>375</v>
      </c>
      <c r="B21" s="456"/>
      <c r="C21" s="456"/>
      <c r="D21" s="456"/>
      <c r="E21" s="285">
        <f>SUM(E19:E20)</f>
        <v>71279943.727119148</v>
      </c>
    </row>
  </sheetData>
  <mergeCells count="8">
    <mergeCell ref="I12:J12"/>
    <mergeCell ref="A19:D19"/>
    <mergeCell ref="A20:D20"/>
    <mergeCell ref="A21:D21"/>
    <mergeCell ref="A16:C16"/>
    <mergeCell ref="I13:J13"/>
    <mergeCell ref="I14:J14"/>
    <mergeCell ref="I15:J15"/>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249977111117893"/>
  </sheetPr>
  <dimension ref="A1:M16"/>
  <sheetViews>
    <sheetView topLeftCell="A10" zoomScale="90" zoomScaleNormal="90" workbookViewId="0">
      <selection activeCell="E19" sqref="E19"/>
    </sheetView>
  </sheetViews>
  <sheetFormatPr baseColWidth="10" defaultColWidth="11.42578125" defaultRowHeight="14.25" x14ac:dyDescent="0.2"/>
  <cols>
    <col min="1" max="1" width="28.42578125" style="11" customWidth="1"/>
    <col min="2" max="2" width="15.85546875" style="11" bestFit="1" customWidth="1"/>
    <col min="3" max="3" width="16" style="11" customWidth="1"/>
    <col min="4" max="4" width="13.42578125" style="11" customWidth="1"/>
    <col min="5" max="5" width="15.5703125" style="11" bestFit="1" customWidth="1"/>
    <col min="6" max="6" width="21.5703125" style="11" customWidth="1"/>
    <col min="7" max="7" width="11.42578125" style="11"/>
    <col min="8" max="8" width="16" style="11" customWidth="1"/>
    <col min="9" max="9" width="21.42578125" style="11" customWidth="1"/>
    <col min="10" max="16384" width="11.42578125" style="11"/>
  </cols>
  <sheetData>
    <row r="1" spans="1:13" ht="15.75" x14ac:dyDescent="0.25">
      <c r="A1" s="35" t="s">
        <v>378</v>
      </c>
    </row>
    <row r="3" spans="1:13" ht="51" x14ac:dyDescent="0.2">
      <c r="A3" s="8" t="s">
        <v>52</v>
      </c>
      <c r="B3" s="8" t="s">
        <v>53</v>
      </c>
      <c r="C3" s="8" t="s">
        <v>54</v>
      </c>
      <c r="D3" s="8" t="s">
        <v>55</v>
      </c>
      <c r="E3" s="8" t="s">
        <v>56</v>
      </c>
      <c r="H3" s="161"/>
      <c r="I3" s="8" t="s">
        <v>59</v>
      </c>
      <c r="J3" s="463" t="s">
        <v>60</v>
      </c>
      <c r="K3" s="464"/>
      <c r="L3" s="464"/>
      <c r="M3" s="465"/>
    </row>
    <row r="4" spans="1:13" x14ac:dyDescent="0.2">
      <c r="A4" s="36">
        <v>1</v>
      </c>
      <c r="B4" s="37">
        <f>I16</f>
        <v>2874371.6363636362</v>
      </c>
      <c r="D4" s="459">
        <v>3.62</v>
      </c>
      <c r="E4" s="38">
        <f>B4*D4</f>
        <v>10405225.323636364</v>
      </c>
      <c r="H4" s="162"/>
      <c r="I4" s="8"/>
      <c r="J4" s="8" t="s">
        <v>62</v>
      </c>
      <c r="K4" s="8" t="s">
        <v>63</v>
      </c>
      <c r="L4" s="8" t="s">
        <v>64</v>
      </c>
      <c r="M4" s="8" t="s">
        <v>65</v>
      </c>
    </row>
    <row r="5" spans="1:13" x14ac:dyDescent="0.2">
      <c r="A5" s="36">
        <v>2</v>
      </c>
      <c r="B5" s="36"/>
      <c r="C5" s="37">
        <f>J16</f>
        <v>312516.18181818182</v>
      </c>
      <c r="D5" s="460"/>
      <c r="E5" s="38">
        <f>C5*D4</f>
        <v>1131308.5781818181</v>
      </c>
      <c r="H5" s="162"/>
      <c r="I5" s="9">
        <v>2497743</v>
      </c>
      <c r="J5" s="9">
        <v>325938</v>
      </c>
      <c r="K5" s="9">
        <v>319405</v>
      </c>
      <c r="L5" s="9">
        <v>153300</v>
      </c>
      <c r="M5" s="9">
        <v>192512</v>
      </c>
    </row>
    <row r="6" spans="1:13" x14ac:dyDescent="0.2">
      <c r="A6" s="36">
        <v>3</v>
      </c>
      <c r="B6" s="36"/>
      <c r="C6" s="37">
        <f>K16</f>
        <v>328071.09090909088</v>
      </c>
      <c r="D6" s="460"/>
      <c r="E6" s="38">
        <f>C6*D4</f>
        <v>1187617.3490909091</v>
      </c>
      <c r="H6" s="162"/>
      <c r="I6" s="9">
        <v>2646671</v>
      </c>
      <c r="J6" s="9">
        <v>292636</v>
      </c>
      <c r="K6" s="9">
        <v>221205</v>
      </c>
      <c r="L6" s="9">
        <v>162931</v>
      </c>
      <c r="M6" s="9">
        <v>171086</v>
      </c>
    </row>
    <row r="7" spans="1:13" ht="15" x14ac:dyDescent="0.25">
      <c r="A7" s="36">
        <v>4</v>
      </c>
      <c r="B7" s="36"/>
      <c r="C7" s="37">
        <f>L16</f>
        <v>212688.63636363635</v>
      </c>
      <c r="D7" s="460"/>
      <c r="E7" s="38">
        <f>C7*D4</f>
        <v>769932.86363636365</v>
      </c>
      <c r="H7" s="156"/>
      <c r="I7" s="9">
        <v>3090101</v>
      </c>
      <c r="J7" s="9">
        <v>304948</v>
      </c>
      <c r="K7" s="9">
        <v>384875</v>
      </c>
      <c r="L7" s="9">
        <v>172399</v>
      </c>
      <c r="M7" s="9">
        <v>139622</v>
      </c>
    </row>
    <row r="8" spans="1:13" x14ac:dyDescent="0.2">
      <c r="A8" s="36">
        <v>5</v>
      </c>
      <c r="B8" s="36"/>
      <c r="C8" s="37">
        <f>M16</f>
        <v>163707.90909090909</v>
      </c>
      <c r="D8" s="461"/>
      <c r="E8" s="38">
        <f>C8*D4</f>
        <v>592622.63090909086</v>
      </c>
      <c r="H8" s="39"/>
      <c r="I8" s="9">
        <v>2607131</v>
      </c>
      <c r="J8" s="9">
        <v>516348</v>
      </c>
      <c r="K8" s="9">
        <v>363359</v>
      </c>
      <c r="L8" s="9">
        <v>184737</v>
      </c>
      <c r="M8" s="9">
        <v>137404</v>
      </c>
    </row>
    <row r="9" spans="1:13" ht="15" thickBot="1" x14ac:dyDescent="0.25">
      <c r="A9" s="462" t="s">
        <v>183</v>
      </c>
      <c r="B9" s="462"/>
      <c r="C9" s="462"/>
      <c r="D9" s="462"/>
      <c r="E9" s="210">
        <f>SUM(E4:E8)</f>
        <v>14086706.745454546</v>
      </c>
      <c r="H9" s="39"/>
      <c r="I9" s="9">
        <v>3892139</v>
      </c>
      <c r="J9" s="9">
        <v>355172</v>
      </c>
      <c r="K9" s="9">
        <v>344929</v>
      </c>
      <c r="L9" s="9">
        <v>171569</v>
      </c>
      <c r="M9" s="9">
        <v>160364</v>
      </c>
    </row>
    <row r="10" spans="1:13" ht="15" thickBot="1" x14ac:dyDescent="0.25">
      <c r="A10" s="466" t="s">
        <v>185</v>
      </c>
      <c r="B10" s="467"/>
      <c r="C10" s="467"/>
      <c r="D10" s="467"/>
      <c r="E10" s="211">
        <f>+E9*105.29/103.8</f>
        <v>14288914.770991419</v>
      </c>
      <c r="H10" s="39"/>
      <c r="I10" s="9">
        <v>2666475</v>
      </c>
      <c r="J10" s="9">
        <v>328809</v>
      </c>
      <c r="K10" s="9">
        <v>448205</v>
      </c>
      <c r="L10" s="9">
        <v>229392</v>
      </c>
      <c r="M10" s="9">
        <v>119768</v>
      </c>
    </row>
    <row r="11" spans="1:13" ht="15" x14ac:dyDescent="0.25">
      <c r="A11" s="40" t="s">
        <v>57</v>
      </c>
      <c r="B11" s="40"/>
      <c r="C11" s="40"/>
      <c r="D11" s="40"/>
      <c r="E11" s="40"/>
      <c r="H11" s="41"/>
      <c r="I11" s="9">
        <v>2483825</v>
      </c>
      <c r="J11" s="9">
        <v>174804</v>
      </c>
      <c r="K11" s="9">
        <v>232455</v>
      </c>
      <c r="L11" s="9">
        <v>397023</v>
      </c>
      <c r="M11" s="9">
        <v>161763</v>
      </c>
    </row>
    <row r="12" spans="1:13" x14ac:dyDescent="0.2">
      <c r="A12" s="40" t="s">
        <v>58</v>
      </c>
      <c r="B12" s="40"/>
      <c r="C12" s="40"/>
      <c r="D12" s="40"/>
      <c r="E12" s="40"/>
      <c r="I12" s="9">
        <v>3135230</v>
      </c>
      <c r="J12" s="9">
        <v>351654</v>
      </c>
      <c r="K12" s="9">
        <v>350074</v>
      </c>
      <c r="L12" s="9">
        <v>228375</v>
      </c>
      <c r="M12" s="9">
        <v>132164</v>
      </c>
    </row>
    <row r="13" spans="1:13" x14ac:dyDescent="0.2">
      <c r="A13" s="42" t="s">
        <v>61</v>
      </c>
      <c r="B13" s="40"/>
      <c r="C13" s="40"/>
      <c r="D13" s="40"/>
      <c r="E13" s="40"/>
      <c r="I13" s="9">
        <v>2806597</v>
      </c>
      <c r="J13" s="9">
        <v>242436</v>
      </c>
      <c r="K13" s="9">
        <v>295814</v>
      </c>
      <c r="L13" s="9">
        <v>190995</v>
      </c>
      <c r="M13" s="9">
        <v>212726</v>
      </c>
    </row>
    <row r="14" spans="1:13" x14ac:dyDescent="0.2">
      <c r="A14" s="40" t="s">
        <v>186</v>
      </c>
      <c r="B14" s="40"/>
      <c r="C14" s="40"/>
      <c r="D14" s="40"/>
      <c r="E14" s="40"/>
      <c r="I14" s="9">
        <v>3216486</v>
      </c>
      <c r="J14" s="9">
        <v>295006</v>
      </c>
      <c r="K14" s="9">
        <v>349005</v>
      </c>
      <c r="L14" s="9">
        <v>200871</v>
      </c>
      <c r="M14" s="9">
        <v>143457</v>
      </c>
    </row>
    <row r="15" spans="1:13" x14ac:dyDescent="0.2">
      <c r="A15" s="40"/>
      <c r="B15" s="40"/>
      <c r="C15" s="40"/>
      <c r="D15" s="40"/>
      <c r="E15" s="40"/>
      <c r="I15" s="9">
        <v>2575690</v>
      </c>
      <c r="J15" s="9">
        <v>249927</v>
      </c>
      <c r="K15" s="9">
        <v>299456</v>
      </c>
      <c r="L15" s="9">
        <v>247983</v>
      </c>
      <c r="M15" s="9">
        <v>229921</v>
      </c>
    </row>
    <row r="16" spans="1:13" x14ac:dyDescent="0.2">
      <c r="I16" s="43">
        <f>AVERAGE(I5:I15)</f>
        <v>2874371.6363636362</v>
      </c>
      <c r="J16" s="43">
        <f>AVERAGE(J5:J15)</f>
        <v>312516.18181818182</v>
      </c>
      <c r="K16" s="43">
        <f>AVERAGE(K5:K15)</f>
        <v>328071.09090909088</v>
      </c>
      <c r="L16" s="43">
        <f>AVERAGE(L5:L15)</f>
        <v>212688.63636363635</v>
      </c>
      <c r="M16" s="43">
        <f>AVERAGE(M5:M15)</f>
        <v>163707.90909090909</v>
      </c>
    </row>
  </sheetData>
  <mergeCells count="4">
    <mergeCell ref="D4:D8"/>
    <mergeCell ref="A9:D9"/>
    <mergeCell ref="J3:M3"/>
    <mergeCell ref="A10:D10"/>
  </mergeCells>
  <pageMargins left="0.7" right="0.7" top="0.75" bottom="0.75"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sheetPr>
  <dimension ref="A1:F18"/>
  <sheetViews>
    <sheetView topLeftCell="A4" zoomScale="85" zoomScaleNormal="85" workbookViewId="0">
      <selection activeCell="J7" sqref="J7"/>
    </sheetView>
  </sheetViews>
  <sheetFormatPr baseColWidth="10" defaultColWidth="11.42578125" defaultRowHeight="14.25" x14ac:dyDescent="0.2"/>
  <cols>
    <col min="1" max="1" width="22.5703125" style="33" customWidth="1"/>
    <col min="2" max="2" width="43.5703125" style="33" customWidth="1"/>
    <col min="3" max="3" width="35" style="33" customWidth="1"/>
    <col min="4" max="4" width="24.140625" style="33" customWidth="1"/>
    <col min="5" max="5" width="18.7109375" style="167" customWidth="1"/>
    <col min="6" max="16384" width="11.42578125" style="167"/>
  </cols>
  <sheetData>
    <row r="1" spans="1:6" ht="15.75" x14ac:dyDescent="0.2">
      <c r="A1" s="468" t="s">
        <v>218</v>
      </c>
      <c r="B1" s="468"/>
      <c r="C1" s="468"/>
    </row>
    <row r="3" spans="1:6" ht="82.5" customHeight="1" x14ac:dyDescent="0.2">
      <c r="A3" s="168" t="s">
        <v>191</v>
      </c>
      <c r="B3" s="168" t="s">
        <v>192</v>
      </c>
      <c r="C3" s="168" t="s">
        <v>193</v>
      </c>
      <c r="D3" s="169"/>
    </row>
    <row r="4" spans="1:6" ht="68.25" customHeight="1" x14ac:dyDescent="0.2">
      <c r="A4" s="32" t="s">
        <v>194</v>
      </c>
      <c r="B4" s="170" t="s">
        <v>195</v>
      </c>
      <c r="C4" s="32" t="s">
        <v>196</v>
      </c>
    </row>
    <row r="5" spans="1:6" ht="120" customHeight="1" x14ac:dyDescent="0.2">
      <c r="A5" s="32" t="s">
        <v>197</v>
      </c>
      <c r="B5" s="170" t="s">
        <v>198</v>
      </c>
      <c r="C5" s="32" t="s">
        <v>199</v>
      </c>
      <c r="E5" s="171"/>
    </row>
    <row r="6" spans="1:6" ht="91.5" customHeight="1" x14ac:dyDescent="0.2">
      <c r="A6" s="32" t="s">
        <v>200</v>
      </c>
      <c r="B6" s="170" t="s">
        <v>201</v>
      </c>
      <c r="C6" s="32" t="s">
        <v>202</v>
      </c>
    </row>
    <row r="7" spans="1:6" ht="91.5" customHeight="1" x14ac:dyDescent="0.2">
      <c r="A7" s="32" t="s">
        <v>203</v>
      </c>
      <c r="B7" s="170" t="s">
        <v>204</v>
      </c>
      <c r="C7" s="32" t="s">
        <v>205</v>
      </c>
    </row>
    <row r="9" spans="1:6" ht="30" x14ac:dyDescent="0.2">
      <c r="A9" s="168" t="s">
        <v>206</v>
      </c>
      <c r="B9" s="168" t="s">
        <v>207</v>
      </c>
      <c r="C9" s="168" t="s">
        <v>208</v>
      </c>
      <c r="D9" s="168" t="s">
        <v>209</v>
      </c>
    </row>
    <row r="10" spans="1:6" ht="117.75" customHeight="1" x14ac:dyDescent="0.2">
      <c r="A10" s="170" t="s">
        <v>210</v>
      </c>
      <c r="B10" s="32" t="s">
        <v>197</v>
      </c>
      <c r="C10" s="32">
        <v>13574.6</v>
      </c>
      <c r="D10" s="172">
        <f>+C10*B14/B15</f>
        <v>24348.716081771719</v>
      </c>
      <c r="F10" s="40"/>
    </row>
    <row r="11" spans="1:6" x14ac:dyDescent="0.2">
      <c r="A11" s="40" t="s">
        <v>363</v>
      </c>
    </row>
    <row r="12" spans="1:6" x14ac:dyDescent="0.2">
      <c r="A12" s="40"/>
    </row>
    <row r="13" spans="1:6" ht="30" x14ac:dyDescent="0.2">
      <c r="A13" s="169" t="s">
        <v>211</v>
      </c>
      <c r="E13" s="173"/>
      <c r="F13" s="33"/>
    </row>
    <row r="14" spans="1:6" x14ac:dyDescent="0.2">
      <c r="A14" s="174" t="s">
        <v>219</v>
      </c>
      <c r="B14" s="32">
        <v>105.29</v>
      </c>
    </row>
    <row r="15" spans="1:6" x14ac:dyDescent="0.2">
      <c r="A15" s="174" t="s">
        <v>212</v>
      </c>
      <c r="B15" s="32">
        <v>58.7</v>
      </c>
    </row>
    <row r="16" spans="1:6" ht="15" thickBot="1" x14ac:dyDescent="0.25"/>
    <row r="17" spans="1:5" ht="30" x14ac:dyDescent="0.2">
      <c r="A17" s="175" t="s">
        <v>213</v>
      </c>
      <c r="B17" s="168" t="s">
        <v>264</v>
      </c>
      <c r="C17" s="175" t="s">
        <v>214</v>
      </c>
      <c r="D17" s="212" t="s">
        <v>215</v>
      </c>
      <c r="E17" s="214" t="s">
        <v>216</v>
      </c>
    </row>
    <row r="18" spans="1:5" ht="15.75" thickBot="1" x14ac:dyDescent="0.25">
      <c r="A18" s="176">
        <v>1939</v>
      </c>
      <c r="B18" s="193">
        <f>+A18*0.55</f>
        <v>1066.45</v>
      </c>
      <c r="C18" s="177">
        <f>+D10</f>
        <v>24348.716081771719</v>
      </c>
      <c r="D18" s="213">
        <f>+B18*C18</f>
        <v>25966688.26540545</v>
      </c>
      <c r="E18" s="215">
        <f>D18*12</f>
        <v>311600259.18486542</v>
      </c>
    </row>
  </sheetData>
  <mergeCells count="1">
    <mergeCell ref="A1:C1"/>
  </mergeCells>
  <pageMargins left="0.7" right="0.7" top="0.75" bottom="0.75"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sheetPr>
  <dimension ref="A1:T19"/>
  <sheetViews>
    <sheetView topLeftCell="A10" zoomScale="90" zoomScaleNormal="90" workbookViewId="0">
      <selection activeCell="B6" sqref="B6"/>
    </sheetView>
  </sheetViews>
  <sheetFormatPr baseColWidth="10" defaultColWidth="11.42578125" defaultRowHeight="31.5" customHeight="1" x14ac:dyDescent="0.25"/>
  <cols>
    <col min="1" max="1" width="3.5703125" style="179" bestFit="1" customWidth="1"/>
    <col min="2" max="2" width="38.140625" style="179" customWidth="1"/>
    <col min="3" max="3" width="15.7109375" style="179" customWidth="1"/>
    <col min="4" max="4" width="16" style="179" customWidth="1"/>
    <col min="5" max="5" width="13.85546875" style="179" customWidth="1"/>
    <col min="6" max="6" width="8.85546875" style="179" customWidth="1"/>
    <col min="7" max="7" width="11.28515625" style="179" customWidth="1"/>
    <col min="8" max="8" width="11.42578125" style="179"/>
    <col min="9" max="9" width="9.7109375" style="179" customWidth="1"/>
    <col min="10" max="10" width="47.28515625" style="179" hidden="1" customWidth="1"/>
    <col min="11" max="16384" width="11.42578125" style="179"/>
  </cols>
  <sheetData>
    <row r="1" spans="1:20" s="178" customFormat="1" ht="31.5" customHeight="1" x14ac:dyDescent="0.25">
      <c r="B1" s="468" t="s">
        <v>248</v>
      </c>
      <c r="C1" s="468"/>
      <c r="D1" s="468"/>
    </row>
    <row r="2" spans="1:20" ht="19.5" customHeight="1" x14ac:dyDescent="0.25"/>
    <row r="3" spans="1:20" ht="60.75" customHeight="1" x14ac:dyDescent="0.25">
      <c r="A3" s="481" t="s">
        <v>7</v>
      </c>
      <c r="B3" s="469" t="s">
        <v>220</v>
      </c>
      <c r="C3" s="469" t="s">
        <v>221</v>
      </c>
      <c r="D3" s="469" t="s">
        <v>222</v>
      </c>
      <c r="E3" s="480" t="s">
        <v>223</v>
      </c>
      <c r="F3" s="480"/>
      <c r="G3" s="469" t="s">
        <v>224</v>
      </c>
      <c r="I3" s="180" t="s">
        <v>7</v>
      </c>
      <c r="J3" s="181" t="s">
        <v>8</v>
      </c>
      <c r="K3" s="181" t="s">
        <v>9</v>
      </c>
      <c r="L3" s="181" t="s">
        <v>10</v>
      </c>
      <c r="M3" s="181" t="s">
        <v>225</v>
      </c>
      <c r="N3" s="181" t="s">
        <v>226</v>
      </c>
      <c r="O3" s="181" t="s">
        <v>227</v>
      </c>
      <c r="P3" s="181" t="s">
        <v>228</v>
      </c>
      <c r="Q3" s="181" t="s">
        <v>229</v>
      </c>
      <c r="R3" s="181" t="s">
        <v>244</v>
      </c>
      <c r="S3" s="181" t="s">
        <v>230</v>
      </c>
      <c r="T3" s="181" t="s">
        <v>231</v>
      </c>
    </row>
    <row r="4" spans="1:20" ht="31.5" customHeight="1" x14ac:dyDescent="0.25">
      <c r="A4" s="482"/>
      <c r="B4" s="470"/>
      <c r="C4" s="470"/>
      <c r="D4" s="470"/>
      <c r="E4" s="180" t="s">
        <v>232</v>
      </c>
      <c r="F4" s="180" t="s">
        <v>233</v>
      </c>
      <c r="G4" s="470"/>
      <c r="I4" s="182">
        <v>1</v>
      </c>
      <c r="J4" s="183" t="s">
        <v>234</v>
      </c>
      <c r="K4" s="184" t="s">
        <v>235</v>
      </c>
      <c r="L4" s="185">
        <v>2009</v>
      </c>
      <c r="M4" s="184">
        <v>18</v>
      </c>
      <c r="N4" s="186">
        <v>265.209</v>
      </c>
      <c r="O4" s="186">
        <v>217.202</v>
      </c>
      <c r="P4" s="187">
        <v>67082.202999999994</v>
      </c>
      <c r="Q4" s="187">
        <v>16447.63</v>
      </c>
      <c r="R4" s="155">
        <v>3764.6600000000003</v>
      </c>
      <c r="S4" s="186">
        <f>M4*(N4/O4)*(P4/Q4)</f>
        <v>89.639810962526184</v>
      </c>
      <c r="T4" s="188">
        <f>S4*R4</f>
        <v>337463.41073818383</v>
      </c>
    </row>
    <row r="5" spans="1:20" ht="48" customHeight="1" x14ac:dyDescent="0.25">
      <c r="A5" s="184">
        <v>1</v>
      </c>
      <c r="B5" s="183" t="s">
        <v>234</v>
      </c>
      <c r="C5" s="184" t="s">
        <v>235</v>
      </c>
      <c r="D5" s="184" t="s">
        <v>236</v>
      </c>
      <c r="E5" s="184">
        <v>18</v>
      </c>
      <c r="F5" s="184" t="s">
        <v>237</v>
      </c>
      <c r="G5" s="184">
        <v>2009</v>
      </c>
      <c r="I5" s="184">
        <v>2</v>
      </c>
      <c r="J5" s="183" t="s">
        <v>238</v>
      </c>
      <c r="K5" s="184" t="s">
        <v>239</v>
      </c>
      <c r="L5" s="185">
        <v>2008</v>
      </c>
      <c r="M5" s="184">
        <v>14.42</v>
      </c>
      <c r="N5" s="186">
        <v>265.209</v>
      </c>
      <c r="O5" s="186">
        <v>213.113</v>
      </c>
      <c r="P5" s="187">
        <v>67082.202999999994</v>
      </c>
      <c r="Q5" s="187">
        <v>16447.63</v>
      </c>
      <c r="R5" s="155">
        <v>3764.6600000000003</v>
      </c>
      <c r="S5" s="186">
        <f>M5*(N5/O5)*(P5/Q5)</f>
        <v>73.189295116321517</v>
      </c>
      <c r="T5" s="188">
        <f>S5*R5</f>
        <v>275532.81175261101</v>
      </c>
    </row>
    <row r="6" spans="1:20" ht="59.25" customHeight="1" x14ac:dyDescent="0.25">
      <c r="A6" s="184">
        <v>2</v>
      </c>
      <c r="B6" s="183" t="s">
        <v>238</v>
      </c>
      <c r="C6" s="184" t="s">
        <v>239</v>
      </c>
      <c r="D6" s="184" t="s">
        <v>236</v>
      </c>
      <c r="E6" s="184">
        <v>14.42</v>
      </c>
      <c r="F6" s="184" t="s">
        <v>237</v>
      </c>
      <c r="G6" s="184">
        <v>2008</v>
      </c>
      <c r="I6" s="184">
        <v>3</v>
      </c>
      <c r="J6" s="189" t="s">
        <v>240</v>
      </c>
      <c r="K6" s="184" t="s">
        <v>235</v>
      </c>
      <c r="L6" s="185">
        <v>2003</v>
      </c>
      <c r="M6" s="184">
        <v>48</v>
      </c>
      <c r="N6" s="186">
        <v>265.209</v>
      </c>
      <c r="O6" s="186">
        <v>185.917</v>
      </c>
      <c r="P6" s="187">
        <v>67082.202999999994</v>
      </c>
      <c r="Q6" s="187">
        <v>16447.63</v>
      </c>
      <c r="R6" s="155">
        <v>3764.6600000000003</v>
      </c>
      <c r="S6" s="186">
        <f>M6*(N6/O6)*(P6/Q6)</f>
        <v>279.26363155863623</v>
      </c>
      <c r="T6" s="188">
        <f>S6*R6</f>
        <v>1051332.6231835356</v>
      </c>
    </row>
    <row r="7" spans="1:20" ht="69" customHeight="1" x14ac:dyDescent="0.25">
      <c r="A7" s="184">
        <v>3</v>
      </c>
      <c r="B7" s="189" t="s">
        <v>240</v>
      </c>
      <c r="C7" s="184" t="s">
        <v>235</v>
      </c>
      <c r="D7" s="184" t="s">
        <v>236</v>
      </c>
      <c r="E7" s="184">
        <v>48</v>
      </c>
      <c r="F7" s="184" t="s">
        <v>237</v>
      </c>
      <c r="G7" s="184">
        <v>2003</v>
      </c>
      <c r="I7" s="190"/>
      <c r="J7" s="471" t="s">
        <v>241</v>
      </c>
      <c r="K7" s="472"/>
      <c r="L7" s="472"/>
      <c r="M7" s="472"/>
      <c r="N7" s="472"/>
      <c r="O7" s="472"/>
      <c r="P7" s="472"/>
      <c r="Q7" s="472"/>
      <c r="R7" s="473"/>
      <c r="S7" s="186">
        <f>AVERAGE(S4:S6)</f>
        <v>147.3642458791613</v>
      </c>
      <c r="T7" s="199">
        <f>AVERAGE(T4:T6)</f>
        <v>554776.28189144342</v>
      </c>
    </row>
    <row r="8" spans="1:20" s="191" customFormat="1" ht="35.25" customHeight="1" x14ac:dyDescent="0.25">
      <c r="B8" s="192"/>
      <c r="C8" s="192"/>
      <c r="D8" s="192"/>
      <c r="E8" s="192"/>
      <c r="F8" s="192"/>
      <c r="G8" s="192"/>
      <c r="I8" s="479" t="s">
        <v>245</v>
      </c>
      <c r="J8" s="479"/>
      <c r="K8" s="479"/>
      <c r="L8" s="479"/>
      <c r="M8" s="479"/>
      <c r="N8" s="479"/>
      <c r="O8" s="479"/>
      <c r="P8" s="200"/>
      <c r="Q8" s="200"/>
      <c r="R8" s="200"/>
      <c r="S8" s="200"/>
      <c r="T8" s="200"/>
    </row>
    <row r="9" spans="1:20" s="191" customFormat="1" ht="31.5" customHeight="1" x14ac:dyDescent="0.25">
      <c r="B9" s="474" t="s">
        <v>217</v>
      </c>
      <c r="C9" s="474"/>
      <c r="D9" s="474"/>
      <c r="E9" s="474"/>
      <c r="F9" s="474"/>
      <c r="G9" s="474"/>
    </row>
    <row r="10" spans="1:20" s="191" customFormat="1" ht="95.25" customHeight="1" x14ac:dyDescent="0.25">
      <c r="B10" s="32" t="s">
        <v>242</v>
      </c>
      <c r="C10" s="155">
        <v>3764.66</v>
      </c>
      <c r="D10" s="193" t="s">
        <v>246</v>
      </c>
      <c r="E10" s="194"/>
      <c r="F10" s="194"/>
      <c r="G10" s="194"/>
    </row>
    <row r="11" spans="1:20" s="191" customFormat="1" ht="14.25" customHeight="1" thickBot="1" x14ac:dyDescent="0.3">
      <c r="B11" s="194"/>
      <c r="C11" s="194"/>
      <c r="D11" s="194"/>
      <c r="E11" s="194"/>
      <c r="F11" s="194"/>
      <c r="G11" s="194"/>
    </row>
    <row r="12" spans="1:20" ht="89.25" customHeight="1" x14ac:dyDescent="0.25">
      <c r="B12" s="180" t="s">
        <v>247</v>
      </c>
      <c r="C12" s="216" t="s">
        <v>243</v>
      </c>
      <c r="D12" s="475" t="s">
        <v>249</v>
      </c>
      <c r="E12" s="476"/>
    </row>
    <row r="13" spans="1:20" ht="31.5" customHeight="1" thickBot="1" x14ac:dyDescent="0.3">
      <c r="B13" s="202">
        <v>137.56</v>
      </c>
      <c r="C13" s="217">
        <f>+T7</f>
        <v>554776.28189144342</v>
      </c>
      <c r="D13" s="477">
        <f>+B13*C13</f>
        <v>76315025.336986959</v>
      </c>
      <c r="E13" s="478"/>
    </row>
    <row r="14" spans="1:20" ht="69.75" customHeight="1" x14ac:dyDescent="0.25">
      <c r="B14" s="201"/>
    </row>
    <row r="15" spans="1:20" ht="31.5" customHeight="1" x14ac:dyDescent="0.25">
      <c r="C15" s="195"/>
    </row>
    <row r="16" spans="1:20" ht="31.5" customHeight="1" x14ac:dyDescent="0.25">
      <c r="E16" s="196"/>
      <c r="F16" s="197"/>
    </row>
    <row r="19" spans="2:2" ht="31.5" customHeight="1" x14ac:dyDescent="0.25">
      <c r="B19" s="198"/>
    </row>
  </sheetData>
  <mergeCells count="12">
    <mergeCell ref="B1:D1"/>
    <mergeCell ref="A3:A4"/>
    <mergeCell ref="B3:B4"/>
    <mergeCell ref="C3:C4"/>
    <mergeCell ref="D3:D4"/>
    <mergeCell ref="G3:G4"/>
    <mergeCell ref="J7:R7"/>
    <mergeCell ref="B9:G9"/>
    <mergeCell ref="D12:E12"/>
    <mergeCell ref="D13:E13"/>
    <mergeCell ref="I8:O8"/>
    <mergeCell ref="E3:F3"/>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sheetPr>
  <dimension ref="A1:H13"/>
  <sheetViews>
    <sheetView zoomScaleNormal="100" workbookViewId="0">
      <selection activeCell="G11" sqref="G11"/>
    </sheetView>
  </sheetViews>
  <sheetFormatPr baseColWidth="10" defaultRowHeight="15" x14ac:dyDescent="0.25"/>
  <cols>
    <col min="1" max="1" width="4.42578125" customWidth="1"/>
    <col min="2" max="2" width="33.140625" customWidth="1"/>
    <col min="3" max="3" width="20" customWidth="1"/>
    <col min="4" max="4" width="22.28515625" hidden="1" customWidth="1"/>
    <col min="5" max="5" width="13.42578125" customWidth="1"/>
    <col min="6" max="6" width="19.85546875" customWidth="1"/>
  </cols>
  <sheetData>
    <row r="1" spans="1:8" ht="15.75" x14ac:dyDescent="0.25">
      <c r="A1" s="257" t="s">
        <v>336</v>
      </c>
    </row>
    <row r="3" spans="1:8" s="239" customFormat="1" ht="32.25" customHeight="1" x14ac:dyDescent="0.2">
      <c r="A3" s="483"/>
      <c r="B3" s="483" t="s">
        <v>220</v>
      </c>
      <c r="C3" s="483" t="s">
        <v>221</v>
      </c>
      <c r="D3" s="483" t="s">
        <v>222</v>
      </c>
      <c r="E3" s="483" t="s">
        <v>223</v>
      </c>
      <c r="F3" s="483"/>
      <c r="G3" s="483" t="s">
        <v>224</v>
      </c>
    </row>
    <row r="4" spans="1:8" s="239" customFormat="1" ht="12.75" x14ac:dyDescent="0.2">
      <c r="A4" s="483"/>
      <c r="B4" s="483"/>
      <c r="C4" s="483"/>
      <c r="D4" s="483"/>
      <c r="E4" s="241" t="s">
        <v>232</v>
      </c>
      <c r="F4" s="241" t="s">
        <v>233</v>
      </c>
      <c r="G4" s="483"/>
    </row>
    <row r="5" spans="1:8" s="239" customFormat="1" ht="75" customHeight="1" x14ac:dyDescent="0.2">
      <c r="A5" s="236" t="s">
        <v>319</v>
      </c>
      <c r="B5" s="258" t="s">
        <v>316</v>
      </c>
      <c r="C5" s="236" t="s">
        <v>317</v>
      </c>
      <c r="D5" s="236" t="s">
        <v>318</v>
      </c>
      <c r="E5" s="236">
        <v>5</v>
      </c>
      <c r="F5" s="236" t="s">
        <v>327</v>
      </c>
      <c r="G5" s="236">
        <v>2004</v>
      </c>
    </row>
    <row r="6" spans="1:8" s="239" customFormat="1" ht="51.75" customHeight="1" x14ac:dyDescent="0.2">
      <c r="A6" s="236" t="s">
        <v>321</v>
      </c>
      <c r="B6" s="258" t="s">
        <v>320</v>
      </c>
      <c r="C6" s="236" t="s">
        <v>322</v>
      </c>
      <c r="D6" s="236" t="s">
        <v>318</v>
      </c>
      <c r="E6" s="259">
        <v>1900000</v>
      </c>
      <c r="F6" s="236" t="s">
        <v>328</v>
      </c>
      <c r="G6" s="236">
        <v>2007</v>
      </c>
    </row>
    <row r="7" spans="1:8" s="239" customFormat="1" ht="45.75" customHeight="1" x14ac:dyDescent="0.2">
      <c r="A7" s="236" t="s">
        <v>324</v>
      </c>
      <c r="B7" s="258" t="s">
        <v>323</v>
      </c>
      <c r="C7" s="236" t="s">
        <v>136</v>
      </c>
      <c r="D7" s="236" t="s">
        <v>318</v>
      </c>
      <c r="E7" s="259">
        <v>6100</v>
      </c>
      <c r="F7" s="236" t="s">
        <v>329</v>
      </c>
      <c r="G7" s="236">
        <v>2008</v>
      </c>
    </row>
    <row r="8" spans="1:8" s="239" customFormat="1" ht="58.5" customHeight="1" x14ac:dyDescent="0.2">
      <c r="A8" s="236" t="s">
        <v>326</v>
      </c>
      <c r="B8" s="258" t="s">
        <v>325</v>
      </c>
      <c r="C8" s="236" t="s">
        <v>136</v>
      </c>
      <c r="D8" s="236" t="s">
        <v>318</v>
      </c>
      <c r="E8" s="259">
        <v>3548</v>
      </c>
      <c r="F8" s="236" t="s">
        <v>330</v>
      </c>
      <c r="G8" s="236">
        <v>2011</v>
      </c>
    </row>
    <row r="9" spans="1:8" s="239" customFormat="1" ht="12.75" x14ac:dyDescent="0.2"/>
    <row r="10" spans="1:8" s="239" customFormat="1" ht="13.5" thickBot="1" x14ac:dyDescent="0.25"/>
    <row r="11" spans="1:8" s="239" customFormat="1" ht="42" customHeight="1" x14ac:dyDescent="0.2">
      <c r="B11" s="138" t="s">
        <v>332</v>
      </c>
      <c r="C11" s="138" t="s">
        <v>334</v>
      </c>
      <c r="D11" s="138" t="s">
        <v>335</v>
      </c>
      <c r="E11" s="252" t="s">
        <v>155</v>
      </c>
      <c r="F11" s="286" t="s">
        <v>331</v>
      </c>
    </row>
    <row r="12" spans="1:8" s="239" customFormat="1" ht="13.5" thickBot="1" x14ac:dyDescent="0.25">
      <c r="B12" s="136">
        <v>3548</v>
      </c>
      <c r="C12" s="136">
        <f>+B12*105.29/73.45</f>
        <v>5086.0302246426145</v>
      </c>
      <c r="D12" s="136">
        <f>+C12*12</f>
        <v>61032.362695711374</v>
      </c>
      <c r="E12" s="260">
        <v>132</v>
      </c>
      <c r="F12" s="287">
        <f>+D12*E12</f>
        <v>8056271.8758339016</v>
      </c>
    </row>
    <row r="13" spans="1:8" s="239" customFormat="1" ht="42" customHeight="1" x14ac:dyDescent="0.2">
      <c r="B13" s="484" t="s">
        <v>333</v>
      </c>
      <c r="C13" s="484"/>
      <c r="D13" s="484"/>
      <c r="E13" s="484"/>
      <c r="F13" s="256"/>
      <c r="G13" s="256"/>
      <c r="H13" s="256"/>
    </row>
  </sheetData>
  <mergeCells count="7">
    <mergeCell ref="G3:G4"/>
    <mergeCell ref="B13:E13"/>
    <mergeCell ref="A3:A4"/>
    <mergeCell ref="B3:B4"/>
    <mergeCell ref="C3:C4"/>
    <mergeCell ref="D3:D4"/>
    <mergeCell ref="E3:F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sheetPr>
  <dimension ref="A1:C17"/>
  <sheetViews>
    <sheetView workbookViewId="0">
      <selection activeCell="F12" sqref="F12"/>
    </sheetView>
  </sheetViews>
  <sheetFormatPr baseColWidth="10" defaultColWidth="11.42578125" defaultRowHeight="15" x14ac:dyDescent="0.25"/>
  <cols>
    <col min="1" max="1" width="19" style="305" customWidth="1"/>
    <col min="2" max="2" width="15" style="305" customWidth="1"/>
    <col min="3" max="16384" width="11.42578125" style="222"/>
  </cols>
  <sheetData>
    <row r="1" spans="1:3" ht="30" x14ac:dyDescent="0.25">
      <c r="A1" s="221" t="s">
        <v>39</v>
      </c>
      <c r="B1" s="221" t="s">
        <v>40</v>
      </c>
    </row>
    <row r="2" spans="1:3" x14ac:dyDescent="0.25">
      <c r="A2" s="223" t="s">
        <v>280</v>
      </c>
      <c r="B2" s="223" t="s">
        <v>281</v>
      </c>
    </row>
    <row r="3" spans="1:3" x14ac:dyDescent="0.25">
      <c r="A3" s="223" t="s">
        <v>177</v>
      </c>
      <c r="B3" s="303">
        <v>3833.06</v>
      </c>
    </row>
    <row r="4" spans="1:3" x14ac:dyDescent="0.25">
      <c r="A4" s="223" t="s">
        <v>178</v>
      </c>
      <c r="B4" s="303">
        <v>3749.86</v>
      </c>
    </row>
    <row r="5" spans="1:3" x14ac:dyDescent="0.25">
      <c r="A5" s="223" t="s">
        <v>179</v>
      </c>
      <c r="B5" s="303">
        <v>3788.1</v>
      </c>
    </row>
    <row r="6" spans="1:3" x14ac:dyDescent="0.25">
      <c r="A6" s="223" t="s">
        <v>37</v>
      </c>
      <c r="B6" s="303">
        <v>3660.6</v>
      </c>
    </row>
    <row r="7" spans="1:3" x14ac:dyDescent="0.25">
      <c r="A7" s="223" t="s">
        <v>38</v>
      </c>
      <c r="B7" s="303">
        <v>3693</v>
      </c>
    </row>
    <row r="8" spans="1:3" x14ac:dyDescent="0.25">
      <c r="A8" s="221" t="s">
        <v>41</v>
      </c>
      <c r="B8" s="304">
        <f>AVERAGE(B2:B7)</f>
        <v>3744.9240000000004</v>
      </c>
    </row>
    <row r="12" spans="1:3" x14ac:dyDescent="0.25">
      <c r="B12" s="306"/>
      <c r="C12" s="307"/>
    </row>
    <row r="13" spans="1:3" x14ac:dyDescent="0.25">
      <c r="B13" s="306"/>
      <c r="C13" s="307"/>
    </row>
    <row r="14" spans="1:3" x14ac:dyDescent="0.25">
      <c r="B14" s="306"/>
      <c r="C14" s="307"/>
    </row>
    <row r="15" spans="1:3" x14ac:dyDescent="0.25">
      <c r="A15" s="308"/>
      <c r="B15" s="306"/>
      <c r="C15" s="307"/>
    </row>
    <row r="16" spans="1:3" x14ac:dyDescent="0.25">
      <c r="B16" s="306"/>
      <c r="C16" s="307"/>
    </row>
    <row r="17" spans="2:3" x14ac:dyDescent="0.25">
      <c r="B17" s="306"/>
      <c r="C17" s="307"/>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9"/>
  </sheetPr>
  <dimension ref="A1:C26"/>
  <sheetViews>
    <sheetView workbookViewId="0">
      <selection activeCell="M31" sqref="M31"/>
    </sheetView>
  </sheetViews>
  <sheetFormatPr baseColWidth="10" defaultColWidth="11.42578125" defaultRowHeight="15" x14ac:dyDescent="0.25"/>
  <cols>
    <col min="1" max="1" width="23.140625" style="116" customWidth="1"/>
    <col min="2" max="2" width="11.42578125" style="116"/>
    <col min="3" max="3" width="24" style="116" customWidth="1"/>
    <col min="4" max="16384" width="11.42578125" style="116"/>
  </cols>
  <sheetData>
    <row r="1" spans="1:3" s="113" customFormat="1" x14ac:dyDescent="0.25">
      <c r="A1" s="485" t="s">
        <v>124</v>
      </c>
      <c r="B1" s="485"/>
      <c r="C1" s="112" t="s">
        <v>125</v>
      </c>
    </row>
    <row r="2" spans="1:3" x14ac:dyDescent="0.25">
      <c r="A2" s="114" t="s">
        <v>10</v>
      </c>
      <c r="B2" s="114" t="s">
        <v>126</v>
      </c>
      <c r="C2" s="115" t="s">
        <v>10</v>
      </c>
    </row>
    <row r="3" spans="1:3" x14ac:dyDescent="0.25">
      <c r="A3" s="117">
        <v>2000</v>
      </c>
      <c r="B3" s="118">
        <v>8.8999999999999996E-2</v>
      </c>
      <c r="C3" s="119">
        <v>2001</v>
      </c>
    </row>
    <row r="4" spans="1:3" x14ac:dyDescent="0.25">
      <c r="A4" s="117">
        <v>2001</v>
      </c>
      <c r="B4" s="118">
        <v>7.9000000000000001E-2</v>
      </c>
      <c r="C4" s="119">
        <v>2002</v>
      </c>
    </row>
    <row r="5" spans="1:3" x14ac:dyDescent="0.25">
      <c r="A5" s="117">
        <v>2002</v>
      </c>
      <c r="B5" s="118">
        <v>7.0000000000000007E-2</v>
      </c>
      <c r="C5" s="119">
        <v>2003</v>
      </c>
    </row>
    <row r="6" spans="1:3" x14ac:dyDescent="0.25">
      <c r="A6" s="117">
        <v>2003</v>
      </c>
      <c r="B6" s="118">
        <v>6.5000000000000002E-2</v>
      </c>
      <c r="C6" s="119">
        <v>2004</v>
      </c>
    </row>
    <row r="7" spans="1:3" x14ac:dyDescent="0.25">
      <c r="A7" s="117">
        <v>2004</v>
      </c>
      <c r="B7" s="118">
        <v>5.5E-2</v>
      </c>
      <c r="C7" s="119">
        <v>2005</v>
      </c>
    </row>
    <row r="8" spans="1:3" x14ac:dyDescent="0.25">
      <c r="A8" s="117">
        <v>2005</v>
      </c>
      <c r="B8" s="118">
        <v>5.5E-2</v>
      </c>
      <c r="C8" s="119">
        <v>2006</v>
      </c>
    </row>
    <row r="9" spans="1:3" x14ac:dyDescent="0.25">
      <c r="A9" s="117">
        <v>2006</v>
      </c>
      <c r="B9" s="118">
        <v>4.8500000000000001E-2</v>
      </c>
      <c r="C9" s="119">
        <v>2007</v>
      </c>
    </row>
    <row r="10" spans="1:3" x14ac:dyDescent="0.25">
      <c r="A10" s="117">
        <v>2007</v>
      </c>
      <c r="B10" s="118">
        <v>5.6899999999999999E-2</v>
      </c>
      <c r="C10" s="119">
        <v>2008</v>
      </c>
    </row>
    <row r="11" spans="1:3" x14ac:dyDescent="0.25">
      <c r="A11" s="120">
        <v>2008</v>
      </c>
      <c r="B11" s="121">
        <v>7.6700000000000004E-2</v>
      </c>
      <c r="C11" s="119">
        <v>2009</v>
      </c>
    </row>
    <row r="12" spans="1:3" x14ac:dyDescent="0.25">
      <c r="A12" s="120">
        <v>2009</v>
      </c>
      <c r="B12" s="122">
        <v>0.02</v>
      </c>
      <c r="C12" s="123">
        <v>2010</v>
      </c>
    </row>
    <row r="13" spans="1:3" x14ac:dyDescent="0.25">
      <c r="A13" s="299">
        <v>2010</v>
      </c>
      <c r="B13" s="300">
        <v>3.1699999999999999E-2</v>
      </c>
      <c r="C13" s="301">
        <v>2011</v>
      </c>
    </row>
    <row r="14" spans="1:3" x14ac:dyDescent="0.25">
      <c r="A14" s="299">
        <v>2011</v>
      </c>
      <c r="B14" s="300">
        <v>3.73E-2</v>
      </c>
      <c r="C14" s="301">
        <v>2012</v>
      </c>
    </row>
    <row r="15" spans="1:3" x14ac:dyDescent="0.25">
      <c r="A15" s="299">
        <v>2012</v>
      </c>
      <c r="B15" s="300">
        <v>2.4400000000000002E-2</v>
      </c>
      <c r="C15" s="301">
        <v>2013</v>
      </c>
    </row>
    <row r="16" spans="1:3" x14ac:dyDescent="0.25">
      <c r="A16" s="299">
        <v>2013</v>
      </c>
      <c r="B16" s="300">
        <v>1.9400000000000001E-2</v>
      </c>
      <c r="C16" s="301">
        <v>2014</v>
      </c>
    </row>
    <row r="17" spans="1:3" x14ac:dyDescent="0.25">
      <c r="A17" s="299">
        <v>2014</v>
      </c>
      <c r="B17" s="300">
        <v>3.6600000000000001E-2</v>
      </c>
      <c r="C17" s="301">
        <v>2015</v>
      </c>
    </row>
    <row r="18" spans="1:3" x14ac:dyDescent="0.25">
      <c r="A18" s="299">
        <v>2015</v>
      </c>
      <c r="B18" s="300">
        <v>6.7699999999999996E-2</v>
      </c>
      <c r="C18" s="301">
        <v>2016</v>
      </c>
    </row>
    <row r="19" spans="1:3" x14ac:dyDescent="0.25">
      <c r="A19" s="299">
        <v>2016</v>
      </c>
      <c r="B19" s="300">
        <v>5.7500000000000002E-2</v>
      </c>
      <c r="C19" s="301">
        <v>2017</v>
      </c>
    </row>
    <row r="20" spans="1:3" x14ac:dyDescent="0.25">
      <c r="A20" s="299">
        <v>2017</v>
      </c>
      <c r="B20" s="300">
        <v>4.0899999999999999E-2</v>
      </c>
      <c r="C20" s="301">
        <v>2018</v>
      </c>
    </row>
    <row r="21" spans="1:3" x14ac:dyDescent="0.25">
      <c r="A21" s="299">
        <v>2018</v>
      </c>
      <c r="B21" s="300">
        <v>3.1800000000000002E-2</v>
      </c>
      <c r="C21" s="301">
        <v>2019</v>
      </c>
    </row>
    <row r="22" spans="1:3" x14ac:dyDescent="0.25">
      <c r="A22" s="299">
        <v>2019</v>
      </c>
      <c r="B22" s="300">
        <v>3.7999999999999999E-2</v>
      </c>
      <c r="C22" s="301">
        <v>2020</v>
      </c>
    </row>
    <row r="23" spans="1:3" ht="42.75" x14ac:dyDescent="0.2">
      <c r="A23" s="124" t="s">
        <v>127</v>
      </c>
      <c r="B23" s="125">
        <f>AVERAGE(B13:B22)</f>
        <v>3.8529999999999995E-2</v>
      </c>
      <c r="C23" s="126" t="s">
        <v>128</v>
      </c>
    </row>
    <row r="24" spans="1:3" ht="14.25" x14ac:dyDescent="0.2">
      <c r="A24" s="127"/>
      <c r="B24" s="128"/>
      <c r="C24" s="129"/>
    </row>
    <row r="25" spans="1:3" ht="14.25" x14ac:dyDescent="0.2">
      <c r="A25" s="130"/>
      <c r="B25" s="130"/>
      <c r="C25" s="130"/>
    </row>
    <row r="26" spans="1:3" ht="14.25" x14ac:dyDescent="0.2">
      <c r="A26" s="131" t="s">
        <v>129</v>
      </c>
      <c r="B26" s="132">
        <v>0.12</v>
      </c>
      <c r="C26" s="130"/>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A1:BE47"/>
  <sheetViews>
    <sheetView topLeftCell="A22" zoomScaleNormal="100" workbookViewId="0">
      <selection activeCell="C35" sqref="C35"/>
    </sheetView>
  </sheetViews>
  <sheetFormatPr baseColWidth="10" defaultColWidth="11.42578125" defaultRowHeight="12.75" x14ac:dyDescent="0.25"/>
  <cols>
    <col min="1" max="1" width="39.140625" style="30" customWidth="1"/>
    <col min="2" max="2" width="14.42578125" style="247" customWidth="1"/>
    <col min="3" max="3" width="21.140625" style="30" bestFit="1" customWidth="1"/>
    <col min="4" max="4" width="21.140625" style="30" customWidth="1"/>
    <col min="5" max="5" width="19.85546875" style="247" customWidth="1"/>
    <col min="6" max="6" width="16.85546875" style="30" customWidth="1"/>
    <col min="7" max="7" width="17.5703125" style="30" bestFit="1" customWidth="1"/>
    <col min="8" max="8" width="16.5703125" style="30" bestFit="1" customWidth="1"/>
    <col min="9" max="9" width="17.28515625" style="30" bestFit="1" customWidth="1"/>
    <col min="10" max="10" width="17" style="30" bestFit="1" customWidth="1"/>
    <col min="11" max="12" width="17.5703125" style="30" bestFit="1" customWidth="1"/>
    <col min="13" max="13" width="17.28515625" style="30" bestFit="1" customWidth="1"/>
    <col min="14" max="14" width="17" style="30" bestFit="1" customWidth="1"/>
    <col min="15" max="16" width="17.28515625" style="30" bestFit="1" customWidth="1"/>
    <col min="17" max="17" width="17.5703125" style="30" bestFit="1" customWidth="1"/>
    <col min="18" max="19" width="17" style="30" bestFit="1" customWidth="1"/>
    <col min="20" max="20" width="16.5703125" style="30" bestFit="1" customWidth="1"/>
    <col min="21" max="22" width="17" style="30" bestFit="1" customWidth="1"/>
    <col min="23" max="23" width="16.5703125" style="30" bestFit="1" customWidth="1"/>
    <col min="24" max="24" width="17.5703125" style="30" bestFit="1" customWidth="1"/>
    <col min="25" max="25" width="17.28515625" style="30" bestFit="1" customWidth="1"/>
    <col min="26" max="26" width="17" style="30" bestFit="1" customWidth="1"/>
    <col min="27" max="28" width="17.28515625" style="30" bestFit="1" customWidth="1"/>
    <col min="29" max="30" width="17.5703125" style="30" bestFit="1" customWidth="1"/>
    <col min="31" max="31" width="17.28515625" style="30" bestFit="1" customWidth="1"/>
    <col min="32" max="32" width="17.28515625" style="310" bestFit="1" customWidth="1"/>
    <col min="33" max="33" width="17.28515625" style="30" bestFit="1" customWidth="1"/>
    <col min="34" max="34" width="17" style="30" bestFit="1" customWidth="1"/>
    <col min="35" max="36" width="17.5703125" style="30" bestFit="1" customWidth="1"/>
    <col min="37" max="37" width="17.28515625" style="30" bestFit="1" customWidth="1"/>
    <col min="38" max="38" width="15.42578125" style="310" bestFit="1" customWidth="1"/>
    <col min="39" max="39" width="17.28515625" style="30" bestFit="1" customWidth="1"/>
    <col min="40" max="40" width="17.5703125" style="30" bestFit="1" customWidth="1"/>
    <col min="41" max="41" width="17.28515625" style="30" bestFit="1" customWidth="1"/>
    <col min="42" max="43" width="17.5703125" style="30" bestFit="1" customWidth="1"/>
    <col min="44" max="44" width="17.85546875" style="30" bestFit="1" customWidth="1"/>
    <col min="45" max="45" width="18.42578125" style="30" bestFit="1" customWidth="1"/>
    <col min="46" max="57" width="18.28515625" style="30" customWidth="1"/>
    <col min="58" max="16384" width="11.42578125" style="30"/>
  </cols>
  <sheetData>
    <row r="1" spans="1:57" s="247" customFormat="1" ht="14.25" customHeight="1" x14ac:dyDescent="0.25">
      <c r="A1" s="241"/>
      <c r="B1" s="241"/>
      <c r="C1" s="241"/>
      <c r="D1" s="241"/>
      <c r="E1" s="241"/>
      <c r="F1" s="404" t="s">
        <v>253</v>
      </c>
      <c r="G1" s="404"/>
      <c r="H1" s="399" t="s">
        <v>252</v>
      </c>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399"/>
      <c r="AJ1" s="399"/>
      <c r="AK1" s="399"/>
      <c r="AL1" s="399"/>
      <c r="AM1" s="399"/>
      <c r="AN1" s="399"/>
      <c r="AO1" s="399"/>
      <c r="AP1" s="399"/>
      <c r="AQ1" s="399"/>
      <c r="AR1" s="399"/>
      <c r="AS1" s="399"/>
      <c r="AT1" s="399"/>
      <c r="AU1" s="399"/>
      <c r="AV1" s="399"/>
      <c r="AW1" s="399"/>
      <c r="AX1" s="399"/>
      <c r="AY1" s="399"/>
      <c r="AZ1" s="399"/>
      <c r="BA1" s="399"/>
      <c r="BB1" s="399"/>
      <c r="BC1" s="399"/>
      <c r="BD1" s="399"/>
      <c r="BE1" s="399"/>
    </row>
    <row r="2" spans="1:57" s="247" customFormat="1" ht="36" customHeight="1" x14ac:dyDescent="0.25">
      <c r="A2" s="241" t="s">
        <v>107</v>
      </c>
      <c r="B2" s="241" t="s">
        <v>108</v>
      </c>
      <c r="C2" s="241" t="s">
        <v>109</v>
      </c>
      <c r="D2" s="241" t="s">
        <v>381</v>
      </c>
      <c r="E2" s="241" t="s">
        <v>110</v>
      </c>
      <c r="F2" s="323">
        <v>1</v>
      </c>
      <c r="G2" s="323">
        <v>2</v>
      </c>
      <c r="H2" s="292">
        <v>3</v>
      </c>
      <c r="I2" s="293">
        <v>4</v>
      </c>
      <c r="J2" s="293">
        <v>5</v>
      </c>
      <c r="K2" s="293">
        <v>6</v>
      </c>
      <c r="L2" s="293">
        <v>7</v>
      </c>
      <c r="M2" s="293">
        <v>8</v>
      </c>
      <c r="N2" s="293">
        <v>9</v>
      </c>
      <c r="O2" s="293">
        <v>10</v>
      </c>
      <c r="P2" s="293">
        <v>11</v>
      </c>
      <c r="Q2" s="293">
        <v>12</v>
      </c>
      <c r="R2" s="293">
        <v>13</v>
      </c>
      <c r="S2" s="293">
        <v>14</v>
      </c>
      <c r="T2" s="293">
        <v>15</v>
      </c>
      <c r="U2" s="293">
        <v>16</v>
      </c>
      <c r="V2" s="293">
        <v>17</v>
      </c>
      <c r="W2" s="293">
        <v>18</v>
      </c>
      <c r="X2" s="293">
        <v>19</v>
      </c>
      <c r="Y2" s="293">
        <v>20</v>
      </c>
      <c r="Z2" s="293">
        <v>21</v>
      </c>
      <c r="AA2" s="293">
        <v>22</v>
      </c>
      <c r="AB2" s="293">
        <v>23</v>
      </c>
      <c r="AC2" s="293">
        <v>24</v>
      </c>
      <c r="AD2" s="293">
        <v>25</v>
      </c>
      <c r="AE2" s="293">
        <v>26</v>
      </c>
      <c r="AF2" s="293">
        <v>27</v>
      </c>
      <c r="AG2" s="293">
        <v>28</v>
      </c>
      <c r="AH2" s="293">
        <v>29</v>
      </c>
      <c r="AI2" s="293">
        <v>30</v>
      </c>
      <c r="AJ2" s="293">
        <v>31</v>
      </c>
      <c r="AK2" s="293">
        <v>32</v>
      </c>
      <c r="AL2" s="293">
        <v>33</v>
      </c>
      <c r="AM2" s="293">
        <v>34</v>
      </c>
      <c r="AN2" s="293">
        <v>35</v>
      </c>
      <c r="AO2" s="293">
        <v>36</v>
      </c>
      <c r="AP2" s="293">
        <v>37</v>
      </c>
      <c r="AQ2" s="293">
        <v>38</v>
      </c>
      <c r="AR2" s="293">
        <v>39</v>
      </c>
      <c r="AS2" s="293">
        <v>40</v>
      </c>
      <c r="AT2" s="293">
        <v>41</v>
      </c>
      <c r="AU2" s="293">
        <v>42</v>
      </c>
      <c r="AV2" s="293">
        <v>43</v>
      </c>
      <c r="AW2" s="293">
        <v>44</v>
      </c>
      <c r="AX2" s="293">
        <v>45</v>
      </c>
      <c r="AY2" s="293">
        <v>46</v>
      </c>
      <c r="AZ2" s="293">
        <v>47</v>
      </c>
      <c r="BA2" s="293">
        <v>48</v>
      </c>
      <c r="BB2" s="293">
        <v>49</v>
      </c>
      <c r="BC2" s="293">
        <v>50</v>
      </c>
      <c r="BD2" s="293">
        <v>51</v>
      </c>
      <c r="BE2" s="293">
        <v>52</v>
      </c>
    </row>
    <row r="3" spans="1:57" ht="18" customHeight="1" x14ac:dyDescent="0.25">
      <c r="A3" s="241" t="s">
        <v>111</v>
      </c>
      <c r="B3" s="241"/>
      <c r="C3" s="241"/>
      <c r="D3" s="241"/>
      <c r="E3" s="241"/>
      <c r="F3" s="241"/>
      <c r="G3" s="241"/>
      <c r="H3" s="241"/>
      <c r="I3" s="241"/>
      <c r="J3" s="236"/>
      <c r="K3" s="236"/>
      <c r="L3" s="236"/>
      <c r="M3" s="236"/>
      <c r="N3" s="236"/>
      <c r="O3" s="236"/>
      <c r="P3" s="236"/>
      <c r="Q3" s="236"/>
      <c r="R3" s="236"/>
      <c r="S3" s="236"/>
      <c r="T3" s="236"/>
      <c r="U3" s="236"/>
      <c r="V3" s="236"/>
      <c r="W3" s="236"/>
      <c r="X3" s="236"/>
      <c r="Y3" s="236"/>
      <c r="Z3" s="236"/>
      <c r="AA3" s="236"/>
      <c r="AB3" s="236"/>
      <c r="AC3" s="236"/>
      <c r="AD3" s="236"/>
      <c r="AE3" s="236"/>
    </row>
    <row r="4" spans="1:57" ht="18" customHeight="1" x14ac:dyDescent="0.25">
      <c r="A4" s="324" t="s">
        <v>250</v>
      </c>
      <c r="B4" s="268" t="s">
        <v>112</v>
      </c>
      <c r="C4" s="259">
        <f>+Generación_empleo!B17</f>
        <v>1960214580</v>
      </c>
      <c r="D4" s="259">
        <f>+C4*107.16/105.48</f>
        <v>1991435290.0341296</v>
      </c>
      <c r="E4" s="294">
        <f>F4+NPV($C$34,G4)</f>
        <v>3830978379.3102016</v>
      </c>
      <c r="F4" s="311">
        <f>+D4</f>
        <v>1991435290.0341296</v>
      </c>
      <c r="G4" s="311">
        <f>F4+(F4*$C$33)</f>
        <v>2023497398.2036791</v>
      </c>
      <c r="H4" s="311"/>
      <c r="I4" s="311"/>
      <c r="J4" s="311"/>
      <c r="K4" s="311"/>
      <c r="L4" s="311"/>
      <c r="M4" s="311"/>
      <c r="N4" s="311"/>
      <c r="O4" s="311"/>
      <c r="P4" s="311"/>
      <c r="Q4" s="311"/>
      <c r="R4" s="311"/>
      <c r="S4" s="311"/>
      <c r="T4" s="311"/>
      <c r="U4" s="311"/>
      <c r="V4" s="311"/>
      <c r="W4" s="311"/>
      <c r="X4" s="311"/>
      <c r="Y4" s="311"/>
      <c r="Z4" s="311"/>
      <c r="AA4" s="311"/>
      <c r="AB4" s="311"/>
      <c r="AC4" s="311"/>
      <c r="AD4" s="311"/>
      <c r="AE4" s="311"/>
      <c r="AF4" s="311"/>
      <c r="AG4" s="311"/>
      <c r="AH4" s="311"/>
      <c r="AI4" s="311"/>
      <c r="AJ4" s="311"/>
      <c r="AK4" s="311"/>
      <c r="AL4" s="311"/>
      <c r="AM4" s="311"/>
      <c r="AN4" s="311"/>
      <c r="AO4" s="311"/>
      <c r="AP4" s="311"/>
      <c r="AQ4" s="311"/>
      <c r="AR4" s="311"/>
      <c r="AS4" s="311"/>
    </row>
    <row r="5" spans="1:57" ht="18" customHeight="1" x14ac:dyDescent="0.25">
      <c r="A5" s="324" t="s">
        <v>251</v>
      </c>
      <c r="B5" s="268" t="s">
        <v>112</v>
      </c>
      <c r="C5" s="259">
        <f>+Generación_empleo!B49</f>
        <v>539781840</v>
      </c>
      <c r="D5" s="259">
        <f t="shared" ref="D5:D23" si="0">+C5*107.16/105.48</f>
        <v>548379047.91808867</v>
      </c>
      <c r="E5" s="294">
        <f t="shared" ref="E5:E10" si="1">F5+NPV($C$34,G5:BE5)</f>
        <v>6412363902.9462671</v>
      </c>
      <c r="F5" s="311"/>
      <c r="G5" s="311"/>
      <c r="H5" s="311">
        <f>+D5</f>
        <v>548379047.91808867</v>
      </c>
      <c r="I5" s="311">
        <f t="shared" ref="I5:BE7" si="2">H5+(H5*$C$33)</f>
        <v>557207950.58956993</v>
      </c>
      <c r="J5" s="311">
        <f t="shared" si="2"/>
        <v>566178998.59406197</v>
      </c>
      <c r="K5" s="311">
        <f t="shared" si="2"/>
        <v>575294480.47142637</v>
      </c>
      <c r="L5" s="311">
        <f t="shared" si="2"/>
        <v>584556721.60701632</v>
      </c>
      <c r="M5" s="311">
        <f t="shared" si="2"/>
        <v>593968084.8248893</v>
      </c>
      <c r="N5" s="311">
        <f t="shared" si="2"/>
        <v>603530970.99057007</v>
      </c>
      <c r="O5" s="311">
        <f t="shared" si="2"/>
        <v>613247819.62351823</v>
      </c>
      <c r="P5" s="311">
        <f t="shared" si="2"/>
        <v>623121109.51945686</v>
      </c>
      <c r="Q5" s="311">
        <f t="shared" si="2"/>
        <v>633153359.38272011</v>
      </c>
      <c r="R5" s="311">
        <f t="shared" si="2"/>
        <v>643347128.46878195</v>
      </c>
      <c r="S5" s="311">
        <f t="shared" si="2"/>
        <v>653705017.23712933</v>
      </c>
      <c r="T5" s="311">
        <f t="shared" si="2"/>
        <v>664229668.01464713</v>
      </c>
      <c r="U5" s="311">
        <f t="shared" si="2"/>
        <v>674923765.66968298</v>
      </c>
      <c r="V5" s="311">
        <f t="shared" si="2"/>
        <v>685790038.29696488</v>
      </c>
      <c r="W5" s="311">
        <f t="shared" si="2"/>
        <v>696831257.91354597</v>
      </c>
      <c r="X5" s="311">
        <f t="shared" si="2"/>
        <v>708050241.16595411</v>
      </c>
      <c r="Y5" s="311">
        <f t="shared" si="2"/>
        <v>719449850.04872596</v>
      </c>
      <c r="Z5" s="311">
        <f t="shared" si="2"/>
        <v>731032992.6345104</v>
      </c>
      <c r="AA5" s="311">
        <f t="shared" si="2"/>
        <v>742802623.81592607</v>
      </c>
      <c r="AB5" s="311">
        <f t="shared" si="2"/>
        <v>754761746.05936253</v>
      </c>
      <c r="AC5" s="311">
        <f t="shared" si="2"/>
        <v>766913410.17091823</v>
      </c>
      <c r="AD5" s="311">
        <f t="shared" si="2"/>
        <v>779260716.07466996</v>
      </c>
      <c r="AE5" s="311">
        <f t="shared" si="2"/>
        <v>791806813.60347211</v>
      </c>
      <c r="AF5" s="311">
        <f t="shared" si="2"/>
        <v>804554903.30248797</v>
      </c>
      <c r="AG5" s="311">
        <f t="shared" si="2"/>
        <v>817508237.24565804</v>
      </c>
      <c r="AH5" s="311">
        <f t="shared" si="2"/>
        <v>830670119.86531317</v>
      </c>
      <c r="AI5" s="311">
        <f t="shared" si="2"/>
        <v>844043908.79514468</v>
      </c>
      <c r="AJ5" s="311">
        <f t="shared" si="2"/>
        <v>857633015.72674656</v>
      </c>
      <c r="AK5" s="311">
        <f t="shared" si="2"/>
        <v>871440907.27994716</v>
      </c>
      <c r="AL5" s="311">
        <f t="shared" si="2"/>
        <v>885471105.88715434</v>
      </c>
      <c r="AM5" s="311">
        <f t="shared" si="2"/>
        <v>899727190.69193757</v>
      </c>
      <c r="AN5" s="311">
        <f t="shared" si="2"/>
        <v>914212798.46207774</v>
      </c>
      <c r="AO5" s="311">
        <f t="shared" si="2"/>
        <v>928931624.51731718</v>
      </c>
      <c r="AP5" s="311">
        <f t="shared" si="2"/>
        <v>943887423.67204595</v>
      </c>
      <c r="AQ5" s="311">
        <f t="shared" si="2"/>
        <v>959084011.1931659</v>
      </c>
      <c r="AR5" s="311">
        <f t="shared" si="2"/>
        <v>974525263.77337587</v>
      </c>
      <c r="AS5" s="311">
        <f t="shared" si="2"/>
        <v>990215120.52012718</v>
      </c>
      <c r="AT5" s="311">
        <f t="shared" si="2"/>
        <v>1006157583.9605012</v>
      </c>
      <c r="AU5" s="311">
        <f t="shared" si="2"/>
        <v>1022356721.0622653</v>
      </c>
      <c r="AV5" s="311">
        <f t="shared" si="2"/>
        <v>1038816664.2713678</v>
      </c>
      <c r="AW5" s="311">
        <f t="shared" si="2"/>
        <v>1055541612.5661368</v>
      </c>
      <c r="AX5" s="311">
        <f t="shared" si="2"/>
        <v>1072535832.5284517</v>
      </c>
      <c r="AY5" s="311">
        <f t="shared" si="2"/>
        <v>1089803659.4321597</v>
      </c>
      <c r="AZ5" s="311">
        <f t="shared" si="2"/>
        <v>1107349498.3490174</v>
      </c>
      <c r="BA5" s="311">
        <f t="shared" si="2"/>
        <v>1125177825.2724366</v>
      </c>
      <c r="BB5" s="311">
        <f t="shared" si="2"/>
        <v>1143293188.2593229</v>
      </c>
      <c r="BC5" s="311">
        <f t="shared" si="2"/>
        <v>1161700208.5902979</v>
      </c>
      <c r="BD5" s="311">
        <f t="shared" si="2"/>
        <v>1180403581.9486017</v>
      </c>
      <c r="BE5" s="311">
        <f t="shared" si="2"/>
        <v>1199408079.6179743</v>
      </c>
    </row>
    <row r="6" spans="1:57" ht="25.5" customHeight="1" x14ac:dyDescent="0.25">
      <c r="A6" s="324" t="s">
        <v>306</v>
      </c>
      <c r="B6" s="268" t="s">
        <v>112</v>
      </c>
      <c r="C6" s="259">
        <f>+Adicional_riesgo_accidentes!D5</f>
        <v>11413847.557003258</v>
      </c>
      <c r="D6" s="259">
        <f t="shared" si="0"/>
        <v>11595638.075544834</v>
      </c>
      <c r="E6" s="294">
        <f t="shared" si="1"/>
        <v>135591341.99153331</v>
      </c>
      <c r="F6" s="312"/>
      <c r="G6" s="312"/>
      <c r="H6" s="311">
        <f>+D6</f>
        <v>11595638.075544834</v>
      </c>
      <c r="I6" s="311">
        <f t="shared" si="2"/>
        <v>11782327.848561106</v>
      </c>
      <c r="J6" s="311">
        <f t="shared" si="2"/>
        <v>11972023.32692294</v>
      </c>
      <c r="K6" s="311">
        <f t="shared" si="2"/>
        <v>12164772.902486399</v>
      </c>
      <c r="L6" s="311">
        <f t="shared" si="2"/>
        <v>12360625.746216429</v>
      </c>
      <c r="M6" s="311">
        <f t="shared" si="2"/>
        <v>12559631.820730515</v>
      </c>
      <c r="N6" s="311">
        <f t="shared" si="2"/>
        <v>12761841.893044276</v>
      </c>
      <c r="O6" s="311">
        <f t="shared" si="2"/>
        <v>12967307.54752229</v>
      </c>
      <c r="P6" s="311">
        <f t="shared" si="2"/>
        <v>13176081.199037399</v>
      </c>
      <c r="Q6" s="311">
        <f t="shared" si="2"/>
        <v>13388216.106341902</v>
      </c>
      <c r="R6" s="311">
        <f t="shared" si="2"/>
        <v>13603766.385654006</v>
      </c>
      <c r="S6" s="311">
        <f t="shared" si="2"/>
        <v>13822787.024463035</v>
      </c>
      <c r="T6" s="311">
        <f t="shared" si="2"/>
        <v>14045333.895556889</v>
      </c>
      <c r="U6" s="311">
        <f t="shared" si="2"/>
        <v>14271463.771275355</v>
      </c>
      <c r="V6" s="311">
        <f t="shared" si="2"/>
        <v>14501234.337992888</v>
      </c>
      <c r="W6" s="311">
        <f t="shared" si="2"/>
        <v>14734704.210834574</v>
      </c>
      <c r="X6" s="311">
        <f t="shared" si="2"/>
        <v>14971932.94862901</v>
      </c>
      <c r="Y6" s="311">
        <f t="shared" si="2"/>
        <v>15212981.069101937</v>
      </c>
      <c r="Z6" s="311">
        <f t="shared" si="2"/>
        <v>15457910.064314479</v>
      </c>
      <c r="AA6" s="311">
        <f t="shared" si="2"/>
        <v>15706782.416349942</v>
      </c>
      <c r="AB6" s="311">
        <f t="shared" si="2"/>
        <v>15959661.613253176</v>
      </c>
      <c r="AC6" s="311">
        <f t="shared" si="2"/>
        <v>16216612.165226553</v>
      </c>
      <c r="AD6" s="311">
        <f t="shared" si="2"/>
        <v>16477699.6210867</v>
      </c>
      <c r="AE6" s="311">
        <f t="shared" si="2"/>
        <v>16742990.584986195</v>
      </c>
      <c r="AF6" s="311">
        <f t="shared" si="2"/>
        <v>17012552.733404472</v>
      </c>
      <c r="AG6" s="311">
        <f t="shared" si="2"/>
        <v>17286454.832412284</v>
      </c>
      <c r="AH6" s="311">
        <f t="shared" si="2"/>
        <v>17564766.755214121</v>
      </c>
      <c r="AI6" s="311">
        <f t="shared" si="2"/>
        <v>17847559.49997307</v>
      </c>
      <c r="AJ6" s="311">
        <f t="shared" si="2"/>
        <v>18134905.207922637</v>
      </c>
      <c r="AK6" s="311">
        <f t="shared" si="2"/>
        <v>18426877.181770191</v>
      </c>
      <c r="AL6" s="311">
        <f t="shared" si="2"/>
        <v>18723549.90439669</v>
      </c>
      <c r="AM6" s="311">
        <f t="shared" si="2"/>
        <v>19024999.057857476</v>
      </c>
      <c r="AN6" s="311">
        <f t="shared" si="2"/>
        <v>19331301.542688981</v>
      </c>
      <c r="AO6" s="311">
        <f t="shared" si="2"/>
        <v>19642535.497526273</v>
      </c>
      <c r="AP6" s="311">
        <f t="shared" si="2"/>
        <v>19958780.319036447</v>
      </c>
      <c r="AQ6" s="311">
        <f t="shared" si="2"/>
        <v>20280116.682172932</v>
      </c>
      <c r="AR6" s="311">
        <f t="shared" si="2"/>
        <v>20606626.560755916</v>
      </c>
      <c r="AS6" s="311">
        <f t="shared" si="2"/>
        <v>20938393.248384085</v>
      </c>
      <c r="AT6" s="311">
        <f t="shared" si="2"/>
        <v>21275501.37968307</v>
      </c>
      <c r="AU6" s="311">
        <f t="shared" si="2"/>
        <v>21618036.951895967</v>
      </c>
      <c r="AV6" s="311">
        <f t="shared" si="2"/>
        <v>21966087.346821491</v>
      </c>
      <c r="AW6" s="311">
        <f t="shared" si="2"/>
        <v>22319741.353105318</v>
      </c>
      <c r="AX6" s="311">
        <f t="shared" si="2"/>
        <v>22679089.188890312</v>
      </c>
      <c r="AY6" s="311">
        <f t="shared" si="2"/>
        <v>23044222.524831444</v>
      </c>
      <c r="AZ6" s="311">
        <f t="shared" si="2"/>
        <v>23415234.507481229</v>
      </c>
      <c r="BA6" s="311">
        <f t="shared" si="2"/>
        <v>23792219.783051677</v>
      </c>
      <c r="BB6" s="311">
        <f t="shared" si="2"/>
        <v>24175274.52155881</v>
      </c>
      <c r="BC6" s="311">
        <f t="shared" si="2"/>
        <v>24564496.441355906</v>
      </c>
      <c r="BD6" s="311">
        <f t="shared" si="2"/>
        <v>24959984.834061738</v>
      </c>
      <c r="BE6" s="311">
        <f t="shared" si="2"/>
        <v>25361840.589890134</v>
      </c>
    </row>
    <row r="7" spans="1:57" ht="25.5" customHeight="1" x14ac:dyDescent="0.25">
      <c r="A7" s="324" t="s">
        <v>314</v>
      </c>
      <c r="B7" s="268" t="s">
        <v>112</v>
      </c>
      <c r="C7" s="259">
        <f>+'Redución emisiones GEI'!D4</f>
        <v>846656836.29872262</v>
      </c>
      <c r="D7" s="259">
        <f t="shared" si="0"/>
        <v>860141700.58561921</v>
      </c>
      <c r="E7" s="294">
        <f t="shared" si="1"/>
        <v>10057899938.36142</v>
      </c>
      <c r="F7" s="312"/>
      <c r="G7" s="312"/>
      <c r="H7" s="311">
        <f>+D7</f>
        <v>860141700.58561921</v>
      </c>
      <c r="I7" s="311">
        <f t="shared" si="2"/>
        <v>873989981.96504772</v>
      </c>
      <c r="J7" s="311">
        <f t="shared" si="2"/>
        <v>888061220.674685</v>
      </c>
      <c r="K7" s="311">
        <f t="shared" si="2"/>
        <v>902359006.32754743</v>
      </c>
      <c r="L7" s="311">
        <f t="shared" si="2"/>
        <v>916886986.32942092</v>
      </c>
      <c r="M7" s="311">
        <f t="shared" si="2"/>
        <v>931648866.80932462</v>
      </c>
      <c r="N7" s="311">
        <f t="shared" si="2"/>
        <v>946648413.56495476</v>
      </c>
      <c r="O7" s="311">
        <f t="shared" si="2"/>
        <v>961889453.02335048</v>
      </c>
      <c r="P7" s="311">
        <f t="shared" si="2"/>
        <v>977375873.21702647</v>
      </c>
      <c r="Q7" s="311">
        <f t="shared" si="2"/>
        <v>993111624.77582061</v>
      </c>
      <c r="R7" s="311">
        <f t="shared" si="2"/>
        <v>1009100721.9347113</v>
      </c>
      <c r="S7" s="311">
        <f t="shared" si="2"/>
        <v>1025347243.5578601</v>
      </c>
      <c r="T7" s="311">
        <f t="shared" si="2"/>
        <v>1041855334.1791416</v>
      </c>
      <c r="U7" s="311">
        <f t="shared" si="2"/>
        <v>1058629205.0594258</v>
      </c>
      <c r="V7" s="311">
        <f t="shared" si="2"/>
        <v>1075673135.2608826</v>
      </c>
      <c r="W7" s="311">
        <f t="shared" si="2"/>
        <v>1092991472.7385828</v>
      </c>
      <c r="X7" s="311">
        <f t="shared" si="2"/>
        <v>1110588635.4496741</v>
      </c>
      <c r="Y7" s="311">
        <f t="shared" si="2"/>
        <v>1128469112.4804139</v>
      </c>
      <c r="Z7" s="311">
        <f t="shared" si="2"/>
        <v>1146637465.1913486</v>
      </c>
      <c r="AA7" s="311">
        <f t="shared" si="2"/>
        <v>1165098328.3809292</v>
      </c>
      <c r="AB7" s="311">
        <f t="shared" si="2"/>
        <v>1183856411.4678621</v>
      </c>
      <c r="AC7" s="311">
        <f t="shared" si="2"/>
        <v>1202916499.6924946</v>
      </c>
      <c r="AD7" s="311">
        <f t="shared" si="2"/>
        <v>1222283455.3375437</v>
      </c>
      <c r="AE7" s="311">
        <f t="shared" si="2"/>
        <v>1241962218.9684782</v>
      </c>
      <c r="AF7" s="311">
        <f t="shared" si="2"/>
        <v>1261957810.6938708</v>
      </c>
      <c r="AG7" s="311">
        <f t="shared" si="2"/>
        <v>1282275331.4460421</v>
      </c>
      <c r="AH7" s="311">
        <f t="shared" si="2"/>
        <v>1302919964.2823234</v>
      </c>
      <c r="AI7" s="311">
        <f t="shared" si="2"/>
        <v>1323896975.7072687</v>
      </c>
      <c r="AJ7" s="311">
        <f t="shared" si="2"/>
        <v>1345211717.0161557</v>
      </c>
      <c r="AK7" s="311">
        <f t="shared" si="2"/>
        <v>1366869625.6601157</v>
      </c>
      <c r="AL7" s="311">
        <f t="shared" si="2"/>
        <v>1388876226.6332436</v>
      </c>
      <c r="AM7" s="311">
        <f t="shared" si="2"/>
        <v>1411237133.8820388</v>
      </c>
      <c r="AN7" s="311">
        <f t="shared" si="2"/>
        <v>1433958051.7375398</v>
      </c>
      <c r="AO7" s="311">
        <f t="shared" si="2"/>
        <v>1457044776.3705142</v>
      </c>
      <c r="AP7" s="311">
        <f t="shared" si="2"/>
        <v>1480503197.2700794</v>
      </c>
      <c r="AQ7" s="311">
        <f t="shared" si="2"/>
        <v>1504339298.7461276</v>
      </c>
      <c r="AR7" s="311">
        <f t="shared" si="2"/>
        <v>1528559161.4559402</v>
      </c>
      <c r="AS7" s="311">
        <f t="shared" si="2"/>
        <v>1553168963.9553809</v>
      </c>
      <c r="AT7" s="311">
        <f t="shared" si="2"/>
        <v>1578174984.2750626</v>
      </c>
      <c r="AU7" s="311">
        <f t="shared" si="2"/>
        <v>1603583601.5218911</v>
      </c>
      <c r="AV7" s="311">
        <f t="shared" si="2"/>
        <v>1629401297.5063937</v>
      </c>
      <c r="AW7" s="311">
        <f t="shared" si="2"/>
        <v>1655634658.3962467</v>
      </c>
      <c r="AX7" s="311">
        <f t="shared" si="2"/>
        <v>1682290376.3964262</v>
      </c>
      <c r="AY7" s="311">
        <f t="shared" si="2"/>
        <v>1709375251.4564087</v>
      </c>
      <c r="AZ7" s="311">
        <f t="shared" si="2"/>
        <v>1736896193.0048568</v>
      </c>
      <c r="BA7" s="311">
        <f t="shared" si="2"/>
        <v>1764860221.712235</v>
      </c>
      <c r="BB7" s="311">
        <f t="shared" si="2"/>
        <v>1793274471.2818019</v>
      </c>
      <c r="BC7" s="311">
        <f t="shared" si="2"/>
        <v>1822146190.269439</v>
      </c>
      <c r="BD7" s="311">
        <f t="shared" si="2"/>
        <v>1851482743.9327769</v>
      </c>
      <c r="BE7" s="311">
        <f t="shared" si="2"/>
        <v>1881291616.1100945</v>
      </c>
    </row>
    <row r="8" spans="1:57" s="316" customFormat="1" ht="25.5" customHeight="1" x14ac:dyDescent="0.25">
      <c r="A8" s="379" t="s">
        <v>444</v>
      </c>
      <c r="B8" s="380" t="s">
        <v>112</v>
      </c>
      <c r="C8" s="381" t="s">
        <v>453</v>
      </c>
      <c r="D8" s="381">
        <f>+Adicional_compensacion!P8</f>
        <v>953413206</v>
      </c>
      <c r="E8" s="295">
        <f t="shared" si="1"/>
        <v>3286171088.8679872</v>
      </c>
      <c r="F8" s="317"/>
      <c r="G8" s="315">
        <f>+Adicional_compensacion!$P$8</f>
        <v>953413206</v>
      </c>
      <c r="H8" s="315">
        <f>+Adicional_compensacion!$P$9</f>
        <v>637128924</v>
      </c>
      <c r="I8" s="315">
        <f>+Adicional_compensacion!$P$10</f>
        <v>620320824</v>
      </c>
      <c r="J8" s="315">
        <f>+Adicional_compensacion!$P$11</f>
        <v>473644668</v>
      </c>
      <c r="K8" s="315">
        <f>+Adicional_compensacion!$P$12</f>
        <v>456836568</v>
      </c>
      <c r="L8" s="315">
        <f>+Adicional_compensacion!P$13</f>
        <v>163484256</v>
      </c>
      <c r="M8" s="315">
        <f>+Adicional_compensacion!$P$14</f>
        <v>310160412</v>
      </c>
      <c r="N8" s="315">
        <f>+Adicional_compensacion!$P$15</f>
        <v>163484256</v>
      </c>
      <c r="O8" s="315">
        <f>+Adicional_compensacion!$P$16</f>
        <v>310160412</v>
      </c>
      <c r="P8" s="315">
        <f>+Adicional_compensacion!$P$17</f>
        <v>163484256</v>
      </c>
      <c r="Q8" s="315">
        <f>+Adicional_compensacion!$P$18</f>
        <v>310160412</v>
      </c>
      <c r="R8" s="315"/>
      <c r="S8" s="315">
        <f>+Adicional_compensacion!$P$20</f>
        <v>310160412</v>
      </c>
      <c r="T8" s="315"/>
      <c r="U8" s="315">
        <f>+Adicional_compensacion!$P$22</f>
        <v>310160412</v>
      </c>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c r="AW8" s="315"/>
      <c r="AX8" s="315"/>
      <c r="AY8" s="315"/>
      <c r="AZ8" s="315"/>
      <c r="BA8" s="315"/>
      <c r="BB8" s="315"/>
      <c r="BC8" s="315"/>
      <c r="BD8" s="315"/>
      <c r="BE8" s="315"/>
    </row>
    <row r="9" spans="1:57" s="316" customFormat="1" ht="25.5" customHeight="1" x14ac:dyDescent="0.25">
      <c r="A9" s="379" t="s">
        <v>449</v>
      </c>
      <c r="B9" s="380" t="s">
        <v>112</v>
      </c>
      <c r="C9" s="381" t="s">
        <v>453</v>
      </c>
      <c r="D9" s="381">
        <f>+Adicional_compensacion!G28</f>
        <v>67731873.630251393</v>
      </c>
      <c r="E9" s="295">
        <f t="shared" si="1"/>
        <v>709092940.87719202</v>
      </c>
      <c r="F9" s="317"/>
      <c r="G9" s="315"/>
      <c r="H9" s="315">
        <f>+D9</f>
        <v>67731873.630251393</v>
      </c>
      <c r="I9" s="315">
        <f t="shared" ref="I9:L9" si="3">H9+(H9*$C$33)</f>
        <v>68822356.795698434</v>
      </c>
      <c r="J9" s="315">
        <f t="shared" si="3"/>
        <v>69930396.740109175</v>
      </c>
      <c r="K9" s="315">
        <f t="shared" si="3"/>
        <v>71056276.127624929</v>
      </c>
      <c r="L9" s="315">
        <f t="shared" si="3"/>
        <v>72200282.173279688</v>
      </c>
      <c r="M9" s="315">
        <f t="shared" ref="M9" si="4">+I9</f>
        <v>68822356.795698434</v>
      </c>
      <c r="N9" s="315">
        <f t="shared" ref="N9:Q9" si="5">M9+(M9*$C$33)</f>
        <v>69930396.740109175</v>
      </c>
      <c r="O9" s="315">
        <f t="shared" si="5"/>
        <v>71056276.127624929</v>
      </c>
      <c r="P9" s="315">
        <f t="shared" si="5"/>
        <v>72200282.173279688</v>
      </c>
      <c r="Q9" s="315">
        <f t="shared" si="5"/>
        <v>73362706.716269493</v>
      </c>
      <c r="R9" s="315">
        <f t="shared" ref="R9" si="6">+N9</f>
        <v>69930396.740109175</v>
      </c>
      <c r="S9" s="315">
        <f t="shared" ref="S9:V9" si="7">R9+(R9*$C$33)</f>
        <v>71056276.127624929</v>
      </c>
      <c r="T9" s="315">
        <f t="shared" si="7"/>
        <v>72200282.173279688</v>
      </c>
      <c r="U9" s="315">
        <f t="shared" si="7"/>
        <v>73362706.716269493</v>
      </c>
      <c r="V9" s="315">
        <f t="shared" si="7"/>
        <v>74543846.294401437</v>
      </c>
      <c r="W9" s="315">
        <f t="shared" ref="W9" si="8">+S9</f>
        <v>71056276.127624929</v>
      </c>
      <c r="X9" s="315">
        <f t="shared" ref="X9:AA9" si="9">W9+(W9*$C$33)</f>
        <v>72200282.173279688</v>
      </c>
      <c r="Y9" s="315">
        <f t="shared" si="9"/>
        <v>73362706.716269493</v>
      </c>
      <c r="Z9" s="315">
        <f t="shared" si="9"/>
        <v>74543846.294401437</v>
      </c>
      <c r="AA9" s="315">
        <f t="shared" si="9"/>
        <v>75744002.2197413</v>
      </c>
      <c r="AB9" s="315">
        <f t="shared" ref="AB9" si="10">+X9</f>
        <v>72200282.173279688</v>
      </c>
      <c r="AC9" s="315">
        <f t="shared" ref="AC9:AF9" si="11">AB9+(AB9*$C$33)</f>
        <v>73362706.716269493</v>
      </c>
      <c r="AD9" s="315">
        <f t="shared" si="11"/>
        <v>74543846.294401437</v>
      </c>
      <c r="AE9" s="315">
        <f t="shared" si="11"/>
        <v>75744002.2197413</v>
      </c>
      <c r="AF9" s="315">
        <f t="shared" si="11"/>
        <v>76963480.655479133</v>
      </c>
      <c r="AG9" s="315">
        <f t="shared" ref="AG9" si="12">+AC9</f>
        <v>73362706.716269493</v>
      </c>
      <c r="AH9" s="315">
        <f t="shared" ref="AH9:AK9" si="13">AG9+(AG9*$C$33)</f>
        <v>74543846.294401437</v>
      </c>
      <c r="AI9" s="315">
        <f t="shared" si="13"/>
        <v>75744002.2197413</v>
      </c>
      <c r="AJ9" s="315">
        <f t="shared" si="13"/>
        <v>76963480.655479133</v>
      </c>
      <c r="AK9" s="315">
        <f t="shared" si="13"/>
        <v>78202592.694032341</v>
      </c>
      <c r="AL9" s="315">
        <f t="shared" ref="AL9" si="14">+AH9</f>
        <v>74543846.294401437</v>
      </c>
      <c r="AM9" s="315">
        <f t="shared" ref="AM9:AP9" si="15">AL9+(AL9*$C$33)</f>
        <v>75744002.2197413</v>
      </c>
      <c r="AN9" s="315">
        <f t="shared" si="15"/>
        <v>76963480.655479133</v>
      </c>
      <c r="AO9" s="315">
        <f t="shared" si="15"/>
        <v>78202592.694032341</v>
      </c>
      <c r="AP9" s="315">
        <f t="shared" si="15"/>
        <v>79461654.436406255</v>
      </c>
      <c r="AQ9" s="315">
        <f t="shared" ref="AQ9" si="16">+AM9</f>
        <v>75744002.2197413</v>
      </c>
      <c r="AR9" s="315">
        <f t="shared" ref="AR9:AU9" si="17">AQ9+(AQ9*$C$33)</f>
        <v>76963480.655479133</v>
      </c>
      <c r="AS9" s="315">
        <f t="shared" si="17"/>
        <v>78202592.694032341</v>
      </c>
      <c r="AT9" s="315">
        <f t="shared" si="17"/>
        <v>79461654.436406255</v>
      </c>
      <c r="AU9" s="315">
        <f t="shared" si="17"/>
        <v>80740987.072832391</v>
      </c>
      <c r="AV9" s="315">
        <f t="shared" ref="AV9" si="18">+AR9</f>
        <v>76963480.655479133</v>
      </c>
      <c r="AW9" s="315">
        <f t="shared" ref="AW9:AZ9" si="19">AV9+(AV9*$C$33)</f>
        <v>78202592.694032341</v>
      </c>
      <c r="AX9" s="315">
        <f t="shared" si="19"/>
        <v>79461654.436406255</v>
      </c>
      <c r="AY9" s="315">
        <f t="shared" si="19"/>
        <v>80740987.072832391</v>
      </c>
      <c r="AZ9" s="315">
        <f t="shared" si="19"/>
        <v>82040916.96470499</v>
      </c>
      <c r="BA9" s="315">
        <f t="shared" ref="BA9" si="20">+AW9</f>
        <v>78202592.694032341</v>
      </c>
      <c r="BB9" s="315">
        <f t="shared" ref="BB9:BE9" si="21">BA9+(BA9*$C$33)</f>
        <v>79461654.436406255</v>
      </c>
      <c r="BC9" s="315">
        <f t="shared" si="21"/>
        <v>80740987.072832391</v>
      </c>
      <c r="BD9" s="315">
        <f t="shared" si="21"/>
        <v>82040916.96470499</v>
      </c>
      <c r="BE9" s="315">
        <f t="shared" si="21"/>
        <v>83361775.727836743</v>
      </c>
    </row>
    <row r="10" spans="1:57" s="247" customFormat="1" ht="18" customHeight="1" x14ac:dyDescent="0.25">
      <c r="A10" s="241" t="s">
        <v>113</v>
      </c>
      <c r="B10" s="236" t="s">
        <v>364</v>
      </c>
      <c r="C10" s="294">
        <f>SUM(C4:C7)</f>
        <v>3358067103.8557258</v>
      </c>
      <c r="D10" s="259">
        <f>SUM(D4:D9)</f>
        <v>4432696756.2436333</v>
      </c>
      <c r="E10" s="294">
        <f t="shared" si="1"/>
        <v>22833434670.212582</v>
      </c>
      <c r="F10" s="313">
        <f>SUM(F4:F8)</f>
        <v>1991435290.0341296</v>
      </c>
      <c r="G10" s="313">
        <f>SUM(G4:G9)</f>
        <v>2976910604.2036791</v>
      </c>
      <c r="H10" s="313">
        <f>SUM(H4:H9)</f>
        <v>2124977184.2095041</v>
      </c>
      <c r="I10" s="313">
        <f t="shared" ref="I10:BE10" si="22">SUM(I4:I9)</f>
        <v>2132123441.1988771</v>
      </c>
      <c r="J10" s="313">
        <f t="shared" si="22"/>
        <v>2009787307.335779</v>
      </c>
      <c r="K10" s="313">
        <f t="shared" si="22"/>
        <v>2017711103.8290854</v>
      </c>
      <c r="L10" s="313">
        <f t="shared" si="22"/>
        <v>1749488871.8559334</v>
      </c>
      <c r="M10" s="313">
        <f t="shared" si="22"/>
        <v>1917159352.250643</v>
      </c>
      <c r="N10" s="313">
        <f t="shared" si="22"/>
        <v>1796355879.1886783</v>
      </c>
      <c r="O10" s="313">
        <f t="shared" si="22"/>
        <v>1969321268.322016</v>
      </c>
      <c r="P10" s="313">
        <f t="shared" si="22"/>
        <v>1849357602.1088004</v>
      </c>
      <c r="Q10" s="313">
        <f t="shared" si="22"/>
        <v>2023176318.9811521</v>
      </c>
      <c r="R10" s="313">
        <f t="shared" si="22"/>
        <v>1735982013.5292566</v>
      </c>
      <c r="S10" s="313">
        <f t="shared" si="22"/>
        <v>2074091735.9470775</v>
      </c>
      <c r="T10" s="313">
        <f t="shared" si="22"/>
        <v>1792330618.2626255</v>
      </c>
      <c r="U10" s="313">
        <f t="shared" si="22"/>
        <v>2131347553.2166538</v>
      </c>
      <c r="V10" s="313">
        <f t="shared" si="22"/>
        <v>1850508254.1902418</v>
      </c>
      <c r="W10" s="313">
        <f t="shared" si="22"/>
        <v>1875613710.9905884</v>
      </c>
      <c r="X10" s="313">
        <f t="shared" si="22"/>
        <v>1905811091.7375369</v>
      </c>
      <c r="Y10" s="313">
        <f t="shared" si="22"/>
        <v>1936494650.3145113</v>
      </c>
      <c r="Z10" s="313">
        <f t="shared" si="22"/>
        <v>1967672214.1845748</v>
      </c>
      <c r="AA10" s="313">
        <f t="shared" si="22"/>
        <v>1999351736.8329465</v>
      </c>
      <c r="AB10" s="313">
        <f t="shared" si="22"/>
        <v>2026778101.3137577</v>
      </c>
      <c r="AC10" s="313">
        <f t="shared" si="22"/>
        <v>2059409228.7449088</v>
      </c>
      <c r="AD10" s="313">
        <f t="shared" si="22"/>
        <v>2092565717.3277018</v>
      </c>
      <c r="AE10" s="313">
        <f t="shared" si="22"/>
        <v>2126256025.376678</v>
      </c>
      <c r="AF10" s="313">
        <f t="shared" si="22"/>
        <v>2160488747.3852425</v>
      </c>
      <c r="AG10" s="313">
        <f t="shared" si="22"/>
        <v>2190432730.2403817</v>
      </c>
      <c r="AH10" s="313">
        <f t="shared" si="22"/>
        <v>2225698697.1972523</v>
      </c>
      <c r="AI10" s="313">
        <f t="shared" si="22"/>
        <v>2261532446.2221279</v>
      </c>
      <c r="AJ10" s="313">
        <f t="shared" si="22"/>
        <v>2297943118.6063037</v>
      </c>
      <c r="AK10" s="313">
        <f t="shared" si="22"/>
        <v>2334940002.815865</v>
      </c>
      <c r="AL10" s="313">
        <f t="shared" si="22"/>
        <v>2367614728.7191963</v>
      </c>
      <c r="AM10" s="313">
        <f t="shared" si="22"/>
        <v>2405733325.8515754</v>
      </c>
      <c r="AN10" s="313">
        <f t="shared" si="22"/>
        <v>2444465632.3977857</v>
      </c>
      <c r="AO10" s="313">
        <f t="shared" si="22"/>
        <v>2483821529.07939</v>
      </c>
      <c r="AP10" s="313">
        <f t="shared" si="22"/>
        <v>2523811055.6975679</v>
      </c>
      <c r="AQ10" s="313">
        <f t="shared" si="22"/>
        <v>2559447428.841208</v>
      </c>
      <c r="AR10" s="313">
        <f t="shared" si="22"/>
        <v>2600654532.4455509</v>
      </c>
      <c r="AS10" s="313">
        <f t="shared" si="22"/>
        <v>2642525070.4179244</v>
      </c>
      <c r="AT10" s="313">
        <f t="shared" si="22"/>
        <v>2685069724.0516529</v>
      </c>
      <c r="AU10" s="313">
        <f t="shared" si="22"/>
        <v>2728299346.6088848</v>
      </c>
      <c r="AV10" s="313">
        <f t="shared" si="22"/>
        <v>2767147529.7800622</v>
      </c>
      <c r="AW10" s="313">
        <f t="shared" si="22"/>
        <v>2811698605.009521</v>
      </c>
      <c r="AX10" s="313">
        <f t="shared" si="22"/>
        <v>2856966952.5501742</v>
      </c>
      <c r="AY10" s="313">
        <f t="shared" si="22"/>
        <v>2902964120.4862323</v>
      </c>
      <c r="AZ10" s="313">
        <f t="shared" si="22"/>
        <v>2949701842.8260608</v>
      </c>
      <c r="BA10" s="313">
        <f t="shared" si="22"/>
        <v>2992032859.4617553</v>
      </c>
      <c r="BB10" s="313">
        <f t="shared" si="22"/>
        <v>3040204588.4990897</v>
      </c>
      <c r="BC10" s="313">
        <f t="shared" si="22"/>
        <v>3089151882.3739257</v>
      </c>
      <c r="BD10" s="313">
        <f t="shared" si="22"/>
        <v>3138887227.6801453</v>
      </c>
      <c r="BE10" s="313">
        <f t="shared" si="22"/>
        <v>3189423312.0457954</v>
      </c>
    </row>
    <row r="11" spans="1:57" ht="18" customHeight="1" x14ac:dyDescent="0.25">
      <c r="A11" s="241" t="s">
        <v>114</v>
      </c>
      <c r="B11" s="236"/>
      <c r="C11" s="320"/>
      <c r="D11" s="294">
        <f>+E10</f>
        <v>22833434670.212582</v>
      </c>
      <c r="E11" s="294"/>
      <c r="F11" s="236"/>
      <c r="G11" s="311">
        <f>F11+(F11*$C$33)</f>
        <v>0</v>
      </c>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68"/>
      <c r="AG11" s="236"/>
      <c r="AH11" s="236"/>
      <c r="AI11" s="236"/>
      <c r="AJ11" s="236"/>
      <c r="AK11" s="236"/>
      <c r="AL11" s="268"/>
      <c r="AM11" s="236"/>
      <c r="AN11" s="236"/>
      <c r="AO11" s="236"/>
      <c r="AP11" s="236"/>
      <c r="AQ11" s="236"/>
      <c r="AR11" s="236"/>
      <c r="AS11" s="236"/>
    </row>
    <row r="12" spans="1:57" ht="18" customHeight="1" x14ac:dyDescent="0.25">
      <c r="A12" s="241" t="s">
        <v>115</v>
      </c>
      <c r="B12" s="236"/>
      <c r="C12" s="236"/>
      <c r="D12" s="259"/>
      <c r="E12" s="294"/>
      <c r="F12" s="236"/>
      <c r="G12" s="311"/>
      <c r="H12" s="241"/>
      <c r="I12" s="241"/>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68"/>
      <c r="AG12" s="236"/>
      <c r="AH12" s="236"/>
      <c r="AI12" s="236"/>
      <c r="AJ12" s="236"/>
      <c r="AK12" s="236"/>
      <c r="AL12" s="268"/>
      <c r="AM12" s="236"/>
      <c r="AN12" s="236"/>
      <c r="AO12" s="236"/>
      <c r="AP12" s="236"/>
      <c r="AQ12" s="236"/>
      <c r="AR12" s="236"/>
      <c r="AS12" s="236"/>
    </row>
    <row r="13" spans="1:57" ht="56.25" customHeight="1" x14ac:dyDescent="0.25">
      <c r="A13" s="324" t="s">
        <v>138</v>
      </c>
      <c r="B13" s="236" t="s">
        <v>112</v>
      </c>
      <c r="C13" s="259">
        <f>+Alteración_paisaje_geoforma!E21</f>
        <v>9375380.3393526413</v>
      </c>
      <c r="D13" s="259">
        <f t="shared" si="0"/>
        <v>9524703.803233115</v>
      </c>
      <c r="E13" s="294">
        <f>F13+NPV($C$34,G13:BE13)</f>
        <v>122859684.89304262</v>
      </c>
      <c r="F13" s="311">
        <f>+D13</f>
        <v>9524703.803233115</v>
      </c>
      <c r="G13" s="311">
        <f t="shared" ref="G13:BE13" si="23">F13+(F13*$C$33)</f>
        <v>9678051.5344651677</v>
      </c>
      <c r="H13" s="311">
        <f t="shared" si="23"/>
        <v>9833868.1641700566</v>
      </c>
      <c r="I13" s="311">
        <f t="shared" si="23"/>
        <v>9992193.4416131936</v>
      </c>
      <c r="J13" s="311">
        <f t="shared" si="23"/>
        <v>10153067.756023167</v>
      </c>
      <c r="K13" s="311">
        <f t="shared" si="23"/>
        <v>10316532.14689514</v>
      </c>
      <c r="L13" s="311">
        <f t="shared" si="23"/>
        <v>10482628.314460153</v>
      </c>
      <c r="M13" s="311">
        <f t="shared" si="23"/>
        <v>10651398.630322961</v>
      </c>
      <c r="N13" s="311">
        <f t="shared" si="23"/>
        <v>10822886.14827116</v>
      </c>
      <c r="O13" s="311">
        <f t="shared" si="23"/>
        <v>10997134.615258327</v>
      </c>
      <c r="P13" s="311">
        <f t="shared" si="23"/>
        <v>11174188.482563986</v>
      </c>
      <c r="Q13" s="311">
        <f t="shared" si="23"/>
        <v>11354092.917133266</v>
      </c>
      <c r="R13" s="311">
        <f t="shared" si="23"/>
        <v>11536893.813099112</v>
      </c>
      <c r="S13" s="311">
        <f t="shared" si="23"/>
        <v>11722637.803490007</v>
      </c>
      <c r="T13" s="311">
        <f t="shared" si="23"/>
        <v>11911372.272126196</v>
      </c>
      <c r="U13" s="311">
        <f t="shared" si="23"/>
        <v>12103145.365707427</v>
      </c>
      <c r="V13" s="311">
        <f t="shared" si="23"/>
        <v>12298006.006095316</v>
      </c>
      <c r="W13" s="311">
        <f t="shared" si="23"/>
        <v>12496003.90279345</v>
      </c>
      <c r="X13" s="311">
        <f t="shared" si="23"/>
        <v>12697189.565628424</v>
      </c>
      <c r="Y13" s="311">
        <f t="shared" si="23"/>
        <v>12901614.317635043</v>
      </c>
      <c r="Z13" s="311">
        <f t="shared" si="23"/>
        <v>13109330.308148967</v>
      </c>
      <c r="AA13" s="311">
        <f t="shared" si="23"/>
        <v>13320390.526110165</v>
      </c>
      <c r="AB13" s="311">
        <f t="shared" si="23"/>
        <v>13534848.813580539</v>
      </c>
      <c r="AC13" s="311">
        <f t="shared" si="23"/>
        <v>13752759.879479187</v>
      </c>
      <c r="AD13" s="311">
        <f t="shared" si="23"/>
        <v>13974179.313538801</v>
      </c>
      <c r="AE13" s="311">
        <f t="shared" si="23"/>
        <v>14199163.600486776</v>
      </c>
      <c r="AF13" s="311">
        <f t="shared" si="23"/>
        <v>14427770.134454614</v>
      </c>
      <c r="AG13" s="311">
        <f t="shared" si="23"/>
        <v>14660057.233619332</v>
      </c>
      <c r="AH13" s="311">
        <f t="shared" si="23"/>
        <v>14896084.155080603</v>
      </c>
      <c r="AI13" s="311">
        <f t="shared" si="23"/>
        <v>15135911.109977402</v>
      </c>
      <c r="AJ13" s="311">
        <f t="shared" si="23"/>
        <v>15379599.278848037</v>
      </c>
      <c r="AK13" s="311">
        <f t="shared" si="23"/>
        <v>15627210.827237491</v>
      </c>
      <c r="AL13" s="311">
        <f t="shared" si="23"/>
        <v>15878808.921556015</v>
      </c>
      <c r="AM13" s="311">
        <f t="shared" si="23"/>
        <v>16134457.745193066</v>
      </c>
      <c r="AN13" s="311">
        <f t="shared" si="23"/>
        <v>16394222.514890675</v>
      </c>
      <c r="AO13" s="311">
        <f t="shared" si="23"/>
        <v>16658169.497380415</v>
      </c>
      <c r="AP13" s="311">
        <f t="shared" si="23"/>
        <v>16926366.026288241</v>
      </c>
      <c r="AQ13" s="259">
        <f t="shared" si="23"/>
        <v>17198880.51931148</v>
      </c>
      <c r="AR13" s="259">
        <f t="shared" si="23"/>
        <v>17475782.495672394</v>
      </c>
      <c r="AS13" s="259">
        <f t="shared" si="23"/>
        <v>17757142.593852717</v>
      </c>
      <c r="AT13" s="311">
        <f t="shared" si="23"/>
        <v>18043032.589613747</v>
      </c>
      <c r="AU13" s="311">
        <f t="shared" si="23"/>
        <v>18333525.414306529</v>
      </c>
      <c r="AV13" s="259">
        <f t="shared" si="23"/>
        <v>18628695.173476864</v>
      </c>
      <c r="AW13" s="259">
        <f t="shared" si="23"/>
        <v>18928617.165769842</v>
      </c>
      <c r="AX13" s="259">
        <f t="shared" si="23"/>
        <v>19233367.902138736</v>
      </c>
      <c r="AY13" s="311">
        <f t="shared" si="23"/>
        <v>19543025.125363171</v>
      </c>
      <c r="AZ13" s="311">
        <f t="shared" si="23"/>
        <v>19857667.829881519</v>
      </c>
      <c r="BA13" s="259">
        <f t="shared" si="23"/>
        <v>20177376.28194261</v>
      </c>
      <c r="BB13" s="259">
        <f t="shared" si="23"/>
        <v>20502232.040081885</v>
      </c>
      <c r="BC13" s="259">
        <f t="shared" si="23"/>
        <v>20832317.975927204</v>
      </c>
      <c r="BD13" s="311">
        <f t="shared" si="23"/>
        <v>21167718.295339633</v>
      </c>
      <c r="BE13" s="311">
        <f t="shared" si="23"/>
        <v>21508518.559894599</v>
      </c>
    </row>
    <row r="14" spans="1:57" ht="34.5" customHeight="1" x14ac:dyDescent="0.25">
      <c r="A14" s="324" t="s">
        <v>130</v>
      </c>
      <c r="B14" s="236" t="s">
        <v>112</v>
      </c>
      <c r="C14" s="259">
        <f>+Suelo_fisicoqco!B49</f>
        <v>2398810.2192381509</v>
      </c>
      <c r="D14" s="259">
        <f t="shared" si="0"/>
        <v>2437016.5253466084</v>
      </c>
      <c r="E14" s="294">
        <f t="shared" ref="E14:E23" si="24">F14+NPV($C$34,G14:BE14)</f>
        <v>4688155.1538963253</v>
      </c>
      <c r="F14" s="311">
        <f>D14</f>
        <v>2437016.5253466084</v>
      </c>
      <c r="G14" s="311">
        <f>F14+(F14*$C$33)</f>
        <v>2476252.4914046889</v>
      </c>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1"/>
      <c r="AL14" s="311"/>
      <c r="AM14" s="311"/>
      <c r="AN14" s="311"/>
      <c r="AO14" s="311"/>
      <c r="AP14" s="311"/>
      <c r="AQ14" s="259"/>
      <c r="AR14" s="259"/>
      <c r="AS14" s="259"/>
      <c r="AT14" s="236"/>
      <c r="AU14" s="236"/>
      <c r="AV14" s="236"/>
      <c r="AW14" s="236"/>
      <c r="AX14" s="236"/>
      <c r="AY14" s="236"/>
      <c r="AZ14" s="236"/>
      <c r="BA14" s="236"/>
      <c r="BB14" s="236"/>
      <c r="BC14" s="236"/>
      <c r="BD14" s="236"/>
      <c r="BE14" s="236"/>
    </row>
    <row r="15" spans="1:57" ht="26.25" customHeight="1" x14ac:dyDescent="0.25">
      <c r="A15" s="324" t="s">
        <v>166</v>
      </c>
      <c r="B15" s="236" t="s">
        <v>112</v>
      </c>
      <c r="C15" s="259">
        <f>+'Disponibilidad agua sup'!E19</f>
        <v>413072358.56775504</v>
      </c>
      <c r="D15" s="259">
        <f t="shared" si="0"/>
        <v>419651440.50171244</v>
      </c>
      <c r="E15" s="294">
        <f t="shared" si="24"/>
        <v>4907112624.2126799</v>
      </c>
      <c r="F15" s="311"/>
      <c r="G15" s="311"/>
      <c r="H15" s="311">
        <f>+D15</f>
        <v>419651440.50171244</v>
      </c>
      <c r="I15" s="311">
        <f t="shared" ref="I15:BE23" si="25">H15+(H15*$C$33)</f>
        <v>426407828.69379002</v>
      </c>
      <c r="J15" s="311">
        <f t="shared" si="25"/>
        <v>433272994.73576003</v>
      </c>
      <c r="K15" s="311">
        <f t="shared" si="25"/>
        <v>440248689.95100576</v>
      </c>
      <c r="L15" s="311">
        <f t="shared" si="25"/>
        <v>447336693.85921693</v>
      </c>
      <c r="M15" s="311">
        <f t="shared" si="25"/>
        <v>454538814.63035029</v>
      </c>
      <c r="N15" s="311">
        <f t="shared" si="25"/>
        <v>461856889.54589891</v>
      </c>
      <c r="O15" s="311">
        <f t="shared" si="25"/>
        <v>469292785.46758789</v>
      </c>
      <c r="P15" s="311">
        <f t="shared" si="25"/>
        <v>476848399.31361604</v>
      </c>
      <c r="Q15" s="311">
        <f t="shared" si="25"/>
        <v>484525658.54256523</v>
      </c>
      <c r="R15" s="311">
        <f t="shared" si="25"/>
        <v>492326521.64510053</v>
      </c>
      <c r="S15" s="311">
        <f t="shared" si="25"/>
        <v>500252978.64358664</v>
      </c>
      <c r="T15" s="311">
        <f t="shared" si="25"/>
        <v>508307051.59974837</v>
      </c>
      <c r="U15" s="311">
        <f t="shared" si="25"/>
        <v>516490795.13050431</v>
      </c>
      <c r="V15" s="311">
        <f t="shared" si="25"/>
        <v>524806296.93210542</v>
      </c>
      <c r="W15" s="311">
        <f t="shared" si="25"/>
        <v>533255678.31271231</v>
      </c>
      <c r="X15" s="311">
        <f t="shared" si="25"/>
        <v>541841094.73354697</v>
      </c>
      <c r="Y15" s="311">
        <f t="shared" si="25"/>
        <v>550564736.35875702</v>
      </c>
      <c r="Z15" s="311">
        <f t="shared" si="25"/>
        <v>559428828.614133</v>
      </c>
      <c r="AA15" s="311">
        <f t="shared" si="25"/>
        <v>568435632.75482059</v>
      </c>
      <c r="AB15" s="311">
        <f t="shared" si="25"/>
        <v>577587446.44217324</v>
      </c>
      <c r="AC15" s="311">
        <f t="shared" si="25"/>
        <v>586886604.32989228</v>
      </c>
      <c r="AD15" s="311">
        <f t="shared" si="25"/>
        <v>596335478.6596036</v>
      </c>
      <c r="AE15" s="311">
        <f t="shared" si="25"/>
        <v>605936479.86602318</v>
      </c>
      <c r="AF15" s="311">
        <f t="shared" si="25"/>
        <v>615692057.19186616</v>
      </c>
      <c r="AG15" s="311">
        <f t="shared" si="25"/>
        <v>625604699.31265521</v>
      </c>
      <c r="AH15" s="311">
        <f t="shared" si="25"/>
        <v>635676934.97158897</v>
      </c>
      <c r="AI15" s="311">
        <f t="shared" si="25"/>
        <v>645911333.62463152</v>
      </c>
      <c r="AJ15" s="311">
        <f t="shared" si="25"/>
        <v>656310506.09598804</v>
      </c>
      <c r="AK15" s="311">
        <f t="shared" si="25"/>
        <v>666877105.24413347</v>
      </c>
      <c r="AL15" s="311">
        <f t="shared" si="25"/>
        <v>677613826.63856399</v>
      </c>
      <c r="AM15" s="311">
        <f t="shared" si="25"/>
        <v>688523409.24744487</v>
      </c>
      <c r="AN15" s="311">
        <f t="shared" si="25"/>
        <v>699608636.1363287</v>
      </c>
      <c r="AO15" s="311">
        <f t="shared" si="25"/>
        <v>710872335.17812359</v>
      </c>
      <c r="AP15" s="311">
        <f t="shared" si="25"/>
        <v>722317379.77449143</v>
      </c>
      <c r="AQ15" s="311">
        <f t="shared" si="25"/>
        <v>733946689.58886075</v>
      </c>
      <c r="AR15" s="311">
        <f t="shared" si="25"/>
        <v>745763231.29124141</v>
      </c>
      <c r="AS15" s="311">
        <f t="shared" si="25"/>
        <v>757770019.31503034</v>
      </c>
      <c r="AT15" s="311">
        <f t="shared" si="25"/>
        <v>769970116.62600231</v>
      </c>
      <c r="AU15" s="311">
        <f t="shared" si="25"/>
        <v>782366635.50368094</v>
      </c>
      <c r="AV15" s="311">
        <f t="shared" si="25"/>
        <v>794962738.33529019</v>
      </c>
      <c r="AW15" s="311">
        <f t="shared" si="25"/>
        <v>807761638.42248833</v>
      </c>
      <c r="AX15" s="311">
        <f t="shared" si="25"/>
        <v>820766600.80109036</v>
      </c>
      <c r="AY15" s="311">
        <f t="shared" si="25"/>
        <v>833980943.07398796</v>
      </c>
      <c r="AZ15" s="311">
        <f t="shared" si="25"/>
        <v>847408036.25747919</v>
      </c>
      <c r="BA15" s="311">
        <f t="shared" si="25"/>
        <v>861051305.64122462</v>
      </c>
      <c r="BB15" s="311">
        <f t="shared" si="25"/>
        <v>874914231.66204834</v>
      </c>
      <c r="BC15" s="311">
        <f t="shared" si="25"/>
        <v>889000350.79180729</v>
      </c>
      <c r="BD15" s="311">
        <f t="shared" si="25"/>
        <v>903313256.43955541</v>
      </c>
      <c r="BE15" s="311">
        <f t="shared" si="25"/>
        <v>917856599.86823225</v>
      </c>
    </row>
    <row r="16" spans="1:57" ht="18" customHeight="1" x14ac:dyDescent="0.25">
      <c r="A16" s="324" t="s">
        <v>262</v>
      </c>
      <c r="B16" s="236" t="s">
        <v>112</v>
      </c>
      <c r="C16" s="259">
        <f>+'Dinámica agua superficial'!B8</f>
        <v>73523544</v>
      </c>
      <c r="D16" s="259">
        <f t="shared" si="0"/>
        <v>74694567.453924909</v>
      </c>
      <c r="E16" s="294">
        <f t="shared" si="24"/>
        <v>963489386.14723706</v>
      </c>
      <c r="F16" s="311">
        <f>+D16</f>
        <v>74694567.453924909</v>
      </c>
      <c r="G16" s="311">
        <f t="shared" ref="G16:AL23" si="26">F16+(F16*$C$33)</f>
        <v>75897149.989933103</v>
      </c>
      <c r="H16" s="311">
        <f>G16+(G16*$C$33)</f>
        <v>77119094.104771033</v>
      </c>
      <c r="I16" s="311">
        <f t="shared" si="26"/>
        <v>78360711.519857854</v>
      </c>
      <c r="J16" s="311">
        <f t="shared" si="26"/>
        <v>79622318.975327566</v>
      </c>
      <c r="K16" s="311">
        <f t="shared" si="26"/>
        <v>80904238.31083034</v>
      </c>
      <c r="L16" s="311">
        <f t="shared" si="26"/>
        <v>82206796.547634706</v>
      </c>
      <c r="M16" s="311">
        <f t="shared" si="26"/>
        <v>83530325.97205162</v>
      </c>
      <c r="N16" s="311">
        <f t="shared" si="26"/>
        <v>84875164.220201656</v>
      </c>
      <c r="O16" s="311">
        <f t="shared" si="26"/>
        <v>86241654.364146903</v>
      </c>
      <c r="P16" s="311">
        <f t="shared" si="26"/>
        <v>87630144.999409676</v>
      </c>
      <c r="Q16" s="311">
        <f t="shared" si="26"/>
        <v>89040990.333900169</v>
      </c>
      <c r="R16" s="311">
        <f t="shared" si="26"/>
        <v>90474550.278275967</v>
      </c>
      <c r="S16" s="311">
        <f t="shared" si="26"/>
        <v>91931190.537756205</v>
      </c>
      <c r="T16" s="311">
        <f t="shared" si="26"/>
        <v>93411282.705414087</v>
      </c>
      <c r="U16" s="311">
        <f t="shared" si="26"/>
        <v>94915204.356971249</v>
      </c>
      <c r="V16" s="311">
        <f t="shared" si="26"/>
        <v>96443339.147118479</v>
      </c>
      <c r="W16" s="311">
        <f t="shared" si="26"/>
        <v>97996076.907387093</v>
      </c>
      <c r="X16" s="311">
        <f t="shared" si="26"/>
        <v>99573813.745596021</v>
      </c>
      <c r="Y16" s="311">
        <f t="shared" si="26"/>
        <v>101176952.14690012</v>
      </c>
      <c r="Z16" s="311">
        <f t="shared" si="26"/>
        <v>102805901.0764652</v>
      </c>
      <c r="AA16" s="311">
        <f t="shared" si="26"/>
        <v>104461076.08379629</v>
      </c>
      <c r="AB16" s="311">
        <f t="shared" si="26"/>
        <v>106142899.40874541</v>
      </c>
      <c r="AC16" s="311">
        <f t="shared" si="26"/>
        <v>107851800.08922622</v>
      </c>
      <c r="AD16" s="311">
        <f t="shared" si="26"/>
        <v>109588214.07066275</v>
      </c>
      <c r="AE16" s="311">
        <f t="shared" si="26"/>
        <v>111352584.31720042</v>
      </c>
      <c r="AF16" s="311">
        <f t="shared" si="26"/>
        <v>113145360.92470735</v>
      </c>
      <c r="AG16" s="311">
        <f t="shared" si="26"/>
        <v>114967001.23559514</v>
      </c>
      <c r="AH16" s="311">
        <f t="shared" si="26"/>
        <v>116817969.95548822</v>
      </c>
      <c r="AI16" s="311">
        <f t="shared" si="26"/>
        <v>118698739.27177158</v>
      </c>
      <c r="AJ16" s="311">
        <f t="shared" si="26"/>
        <v>120609788.97404711</v>
      </c>
      <c r="AK16" s="311">
        <f t="shared" si="26"/>
        <v>122551606.57652926</v>
      </c>
      <c r="AL16" s="311">
        <f t="shared" si="26"/>
        <v>124524687.44241139</v>
      </c>
      <c r="AM16" s="311">
        <f t="shared" si="25"/>
        <v>126529534.91023421</v>
      </c>
      <c r="AN16" s="311">
        <f t="shared" si="25"/>
        <v>128566660.42228898</v>
      </c>
      <c r="AO16" s="311">
        <f t="shared" si="25"/>
        <v>130636583.65508784</v>
      </c>
      <c r="AP16" s="311">
        <f t="shared" si="25"/>
        <v>132739832.65193476</v>
      </c>
      <c r="AQ16" s="259">
        <f t="shared" si="25"/>
        <v>134876943.9576309</v>
      </c>
      <c r="AR16" s="259">
        <f t="shared" si="25"/>
        <v>137048462.75534877</v>
      </c>
      <c r="AS16" s="259">
        <f t="shared" si="25"/>
        <v>139254943.00570989</v>
      </c>
      <c r="AT16" s="311">
        <f t="shared" si="25"/>
        <v>141496947.5881018</v>
      </c>
      <c r="AU16" s="311">
        <f t="shared" si="25"/>
        <v>143775048.44427025</v>
      </c>
      <c r="AV16" s="259">
        <f t="shared" si="25"/>
        <v>146089826.72422302</v>
      </c>
      <c r="AW16" s="259">
        <f t="shared" si="25"/>
        <v>148441872.93448302</v>
      </c>
      <c r="AX16" s="259">
        <f t="shared" si="25"/>
        <v>150831787.08872819</v>
      </c>
      <c r="AY16" s="311">
        <f t="shared" si="25"/>
        <v>153260178.86085671</v>
      </c>
      <c r="AZ16" s="311">
        <f t="shared" si="25"/>
        <v>155727667.74051651</v>
      </c>
      <c r="BA16" s="259">
        <f t="shared" si="25"/>
        <v>158234883.19113883</v>
      </c>
      <c r="BB16" s="259">
        <f t="shared" si="25"/>
        <v>160782464.81051618</v>
      </c>
      <c r="BC16" s="259">
        <f t="shared" si="25"/>
        <v>163371062.49396548</v>
      </c>
      <c r="BD16" s="311">
        <f t="shared" si="25"/>
        <v>166001336.60011831</v>
      </c>
      <c r="BE16" s="311">
        <f t="shared" si="25"/>
        <v>168673958.11938021</v>
      </c>
    </row>
    <row r="17" spans="1:57" ht="33.75" customHeight="1" x14ac:dyDescent="0.25">
      <c r="A17" s="324" t="s">
        <v>376</v>
      </c>
      <c r="B17" s="236" t="s">
        <v>112</v>
      </c>
      <c r="C17" s="259">
        <f>+Coberturas_vegetales!E21</f>
        <v>71279943.727119148</v>
      </c>
      <c r="D17" s="259">
        <f t="shared" si="0"/>
        <v>72415232.933239356</v>
      </c>
      <c r="E17" s="294">
        <f t="shared" si="24"/>
        <v>934088123.20379436</v>
      </c>
      <c r="F17" s="311">
        <f>+D17</f>
        <v>72415232.933239356</v>
      </c>
      <c r="G17" s="311">
        <f t="shared" si="26"/>
        <v>73581118.183464512</v>
      </c>
      <c r="H17" s="311">
        <f t="shared" si="26"/>
        <v>74765774.186218292</v>
      </c>
      <c r="I17" s="311">
        <f t="shared" si="26"/>
        <v>75969503.150616407</v>
      </c>
      <c r="J17" s="311">
        <f t="shared" si="26"/>
        <v>77192612.151341334</v>
      </c>
      <c r="K17" s="311">
        <f t="shared" si="26"/>
        <v>78435413.206977934</v>
      </c>
      <c r="L17" s="311">
        <f t="shared" si="26"/>
        <v>79698223.359610274</v>
      </c>
      <c r="M17" s="311">
        <f t="shared" si="26"/>
        <v>80981364.755700007</v>
      </c>
      <c r="N17" s="311">
        <f t="shared" si="26"/>
        <v>82285164.728266776</v>
      </c>
      <c r="O17" s="311">
        <f t="shared" si="26"/>
        <v>83609955.880391866</v>
      </c>
      <c r="P17" s="311">
        <f t="shared" si="26"/>
        <v>84956076.170066178</v>
      </c>
      <c r="Q17" s="311">
        <f t="shared" si="26"/>
        <v>86323868.996404245</v>
      </c>
      <c r="R17" s="311">
        <f t="shared" si="26"/>
        <v>87713683.287246346</v>
      </c>
      <c r="S17" s="311">
        <f t="shared" si="26"/>
        <v>89125873.588171005</v>
      </c>
      <c r="T17" s="311">
        <f t="shared" si="26"/>
        <v>90560800.152940556</v>
      </c>
      <c r="U17" s="311">
        <f t="shared" si="26"/>
        <v>92018829.035402894</v>
      </c>
      <c r="V17" s="311">
        <f t="shared" si="26"/>
        <v>93500332.182872877</v>
      </c>
      <c r="W17" s="311">
        <f t="shared" si="26"/>
        <v>95005687.531017125</v>
      </c>
      <c r="X17" s="311">
        <f t="shared" si="26"/>
        <v>96535279.100266501</v>
      </c>
      <c r="Y17" s="311">
        <f t="shared" si="26"/>
        <v>98089497.093780786</v>
      </c>
      <c r="Z17" s="311">
        <f t="shared" si="26"/>
        <v>99668737.996990651</v>
      </c>
      <c r="AA17" s="311">
        <f t="shared" si="26"/>
        <v>101273404.6787422</v>
      </c>
      <c r="AB17" s="311">
        <f t="shared" si="26"/>
        <v>102903906.49406995</v>
      </c>
      <c r="AC17" s="311">
        <f t="shared" si="26"/>
        <v>104560659.38862447</v>
      </c>
      <c r="AD17" s="311">
        <f t="shared" si="26"/>
        <v>106244086.00478134</v>
      </c>
      <c r="AE17" s="311">
        <f t="shared" si="26"/>
        <v>107954615.78945832</v>
      </c>
      <c r="AF17" s="311">
        <f t="shared" si="26"/>
        <v>109692685.1036686</v>
      </c>
      <c r="AG17" s="311">
        <f t="shared" si="26"/>
        <v>111458737.33383766</v>
      </c>
      <c r="AH17" s="311">
        <f t="shared" si="26"/>
        <v>113253223.00491245</v>
      </c>
      <c r="AI17" s="311">
        <f t="shared" si="26"/>
        <v>115076599.89529154</v>
      </c>
      <c r="AJ17" s="311">
        <f t="shared" si="26"/>
        <v>116929333.15360573</v>
      </c>
      <c r="AK17" s="311">
        <f t="shared" si="26"/>
        <v>118811895.41737878</v>
      </c>
      <c r="AL17" s="311">
        <f t="shared" si="26"/>
        <v>120724766.93359858</v>
      </c>
      <c r="AM17" s="311">
        <f t="shared" si="25"/>
        <v>122668435.68122952</v>
      </c>
      <c r="AN17" s="311">
        <f t="shared" si="25"/>
        <v>124643397.49569732</v>
      </c>
      <c r="AO17" s="311">
        <f t="shared" si="25"/>
        <v>126650156.19537805</v>
      </c>
      <c r="AP17" s="311">
        <f t="shared" si="25"/>
        <v>128689223.71012364</v>
      </c>
      <c r="AQ17" s="259">
        <f t="shared" si="25"/>
        <v>130761120.21185663</v>
      </c>
      <c r="AR17" s="259">
        <f t="shared" si="25"/>
        <v>132866374.24726753</v>
      </c>
      <c r="AS17" s="259">
        <f t="shared" si="25"/>
        <v>135005522.87264854</v>
      </c>
      <c r="AT17" s="311">
        <f t="shared" si="25"/>
        <v>137179111.79089817</v>
      </c>
      <c r="AU17" s="311">
        <f t="shared" si="25"/>
        <v>139387695.49073163</v>
      </c>
      <c r="AV17" s="259">
        <f t="shared" si="25"/>
        <v>141631837.38813239</v>
      </c>
      <c r="AW17" s="259">
        <f t="shared" si="25"/>
        <v>143912109.97008133</v>
      </c>
      <c r="AX17" s="259">
        <f t="shared" si="25"/>
        <v>146229094.94059965</v>
      </c>
      <c r="AY17" s="311">
        <f t="shared" si="25"/>
        <v>148583383.36914331</v>
      </c>
      <c r="AZ17" s="311">
        <f t="shared" si="25"/>
        <v>150975575.84138653</v>
      </c>
      <c r="BA17" s="259">
        <f t="shared" si="25"/>
        <v>153406282.61243284</v>
      </c>
      <c r="BB17" s="259">
        <f t="shared" si="25"/>
        <v>155876123.76249301</v>
      </c>
      <c r="BC17" s="259">
        <f t="shared" si="25"/>
        <v>158385729.35506916</v>
      </c>
      <c r="BD17" s="311">
        <f t="shared" si="25"/>
        <v>160935739.59768578</v>
      </c>
      <c r="BE17" s="311">
        <f t="shared" si="25"/>
        <v>163526805.00520852</v>
      </c>
    </row>
    <row r="18" spans="1:57" ht="25.5" customHeight="1" x14ac:dyDescent="0.25">
      <c r="A18" s="324" t="s">
        <v>377</v>
      </c>
      <c r="B18" s="236" t="s">
        <v>112</v>
      </c>
      <c r="C18" s="259" t="s">
        <v>384</v>
      </c>
      <c r="D18" s="259" t="e">
        <f>+#REF!</f>
        <v>#REF!</v>
      </c>
      <c r="E18" s="294" t="e">
        <f t="shared" si="24"/>
        <v>#REF!</v>
      </c>
      <c r="F18" s="311" t="e">
        <f t="shared" ref="F18:F23" si="27">+D18</f>
        <v>#REF!</v>
      </c>
      <c r="G18" s="311" t="e">
        <f t="shared" si="26"/>
        <v>#REF!</v>
      </c>
      <c r="H18" s="311" t="e">
        <f t="shared" si="26"/>
        <v>#REF!</v>
      </c>
      <c r="I18" s="311" t="e">
        <f t="shared" si="26"/>
        <v>#REF!</v>
      </c>
      <c r="J18" s="311" t="e">
        <f t="shared" si="26"/>
        <v>#REF!</v>
      </c>
      <c r="K18" s="311" t="e">
        <f t="shared" si="26"/>
        <v>#REF!</v>
      </c>
      <c r="L18" s="311" t="e">
        <f t="shared" si="26"/>
        <v>#REF!</v>
      </c>
      <c r="M18" s="311" t="e">
        <f t="shared" si="26"/>
        <v>#REF!</v>
      </c>
      <c r="N18" s="311" t="e">
        <f t="shared" si="26"/>
        <v>#REF!</v>
      </c>
      <c r="O18" s="311" t="e">
        <f t="shared" si="26"/>
        <v>#REF!</v>
      </c>
      <c r="P18" s="311" t="e">
        <f t="shared" si="26"/>
        <v>#REF!</v>
      </c>
      <c r="Q18" s="311" t="e">
        <f t="shared" si="26"/>
        <v>#REF!</v>
      </c>
      <c r="R18" s="311" t="e">
        <f t="shared" si="26"/>
        <v>#REF!</v>
      </c>
      <c r="S18" s="311" t="e">
        <f t="shared" si="26"/>
        <v>#REF!</v>
      </c>
      <c r="T18" s="311" t="e">
        <f t="shared" si="26"/>
        <v>#REF!</v>
      </c>
      <c r="U18" s="311" t="e">
        <f t="shared" si="26"/>
        <v>#REF!</v>
      </c>
      <c r="V18" s="311" t="e">
        <f t="shared" si="26"/>
        <v>#REF!</v>
      </c>
      <c r="W18" s="311" t="e">
        <f t="shared" si="26"/>
        <v>#REF!</v>
      </c>
      <c r="X18" s="311" t="e">
        <f t="shared" si="26"/>
        <v>#REF!</v>
      </c>
      <c r="Y18" s="311" t="e">
        <f t="shared" si="26"/>
        <v>#REF!</v>
      </c>
      <c r="Z18" s="311" t="e">
        <f t="shared" si="26"/>
        <v>#REF!</v>
      </c>
      <c r="AA18" s="311" t="e">
        <f t="shared" si="26"/>
        <v>#REF!</v>
      </c>
      <c r="AB18" s="311" t="e">
        <f t="shared" si="26"/>
        <v>#REF!</v>
      </c>
      <c r="AC18" s="311" t="e">
        <f t="shared" si="26"/>
        <v>#REF!</v>
      </c>
      <c r="AD18" s="311" t="e">
        <f t="shared" si="26"/>
        <v>#REF!</v>
      </c>
      <c r="AE18" s="311" t="e">
        <f t="shared" si="26"/>
        <v>#REF!</v>
      </c>
      <c r="AF18" s="311" t="e">
        <f t="shared" si="26"/>
        <v>#REF!</v>
      </c>
      <c r="AG18" s="311" t="e">
        <f t="shared" si="26"/>
        <v>#REF!</v>
      </c>
      <c r="AH18" s="311" t="e">
        <f t="shared" si="26"/>
        <v>#REF!</v>
      </c>
      <c r="AI18" s="311" t="e">
        <f t="shared" si="26"/>
        <v>#REF!</v>
      </c>
      <c r="AJ18" s="311" t="e">
        <f t="shared" si="26"/>
        <v>#REF!</v>
      </c>
      <c r="AK18" s="311" t="e">
        <f t="shared" si="26"/>
        <v>#REF!</v>
      </c>
      <c r="AL18" s="311" t="e">
        <f t="shared" si="26"/>
        <v>#REF!</v>
      </c>
      <c r="AM18" s="311" t="e">
        <f t="shared" si="25"/>
        <v>#REF!</v>
      </c>
      <c r="AN18" s="311" t="e">
        <f t="shared" si="25"/>
        <v>#REF!</v>
      </c>
      <c r="AO18" s="311" t="e">
        <f t="shared" si="25"/>
        <v>#REF!</v>
      </c>
      <c r="AP18" s="311" t="e">
        <f t="shared" si="25"/>
        <v>#REF!</v>
      </c>
      <c r="AQ18" s="259" t="e">
        <f t="shared" si="25"/>
        <v>#REF!</v>
      </c>
      <c r="AR18" s="259" t="e">
        <f t="shared" si="25"/>
        <v>#REF!</v>
      </c>
      <c r="AS18" s="259" t="e">
        <f t="shared" si="25"/>
        <v>#REF!</v>
      </c>
      <c r="AT18" s="311" t="e">
        <f t="shared" si="25"/>
        <v>#REF!</v>
      </c>
      <c r="AU18" s="311" t="e">
        <f t="shared" si="25"/>
        <v>#REF!</v>
      </c>
      <c r="AV18" s="259" t="e">
        <f t="shared" si="25"/>
        <v>#REF!</v>
      </c>
      <c r="AW18" s="259" t="e">
        <f t="shared" si="25"/>
        <v>#REF!</v>
      </c>
      <c r="AX18" s="259" t="e">
        <f t="shared" si="25"/>
        <v>#REF!</v>
      </c>
      <c r="AY18" s="311" t="e">
        <f t="shared" si="25"/>
        <v>#REF!</v>
      </c>
      <c r="AZ18" s="311" t="e">
        <f t="shared" si="25"/>
        <v>#REF!</v>
      </c>
      <c r="BA18" s="259" t="e">
        <f t="shared" si="25"/>
        <v>#REF!</v>
      </c>
      <c r="BB18" s="259" t="e">
        <f t="shared" si="25"/>
        <v>#REF!</v>
      </c>
      <c r="BC18" s="259" t="e">
        <f t="shared" si="25"/>
        <v>#REF!</v>
      </c>
      <c r="BD18" s="311" t="e">
        <f t="shared" si="25"/>
        <v>#REF!</v>
      </c>
      <c r="BE18" s="311" t="e">
        <f t="shared" si="25"/>
        <v>#REF!</v>
      </c>
    </row>
    <row r="19" spans="1:57" ht="25.5" customHeight="1" x14ac:dyDescent="0.25">
      <c r="A19" s="324" t="s">
        <v>380</v>
      </c>
      <c r="B19" s="236" t="s">
        <v>112</v>
      </c>
      <c r="C19" s="259">
        <f>+Modificacion_habitat!E10</f>
        <v>14288914.770991419</v>
      </c>
      <c r="D19" s="259">
        <f t="shared" si="0"/>
        <v>14516497.031280246</v>
      </c>
      <c r="E19" s="294">
        <f t="shared" si="24"/>
        <v>187249103.7892938</v>
      </c>
      <c r="F19" s="311">
        <f t="shared" si="27"/>
        <v>14516497.031280246</v>
      </c>
      <c r="G19" s="311">
        <f>F19+(F19*$C$33)</f>
        <v>14750212.633483857</v>
      </c>
      <c r="H19" s="311">
        <f t="shared" si="26"/>
        <v>14987691.056882948</v>
      </c>
      <c r="I19" s="311">
        <f t="shared" si="26"/>
        <v>15228992.882898763</v>
      </c>
      <c r="J19" s="311">
        <f t="shared" si="26"/>
        <v>15474179.668313432</v>
      </c>
      <c r="K19" s="311">
        <f t="shared" si="26"/>
        <v>15723313.96097328</v>
      </c>
      <c r="L19" s="311">
        <f t="shared" si="26"/>
        <v>15976459.31574495</v>
      </c>
      <c r="M19" s="311">
        <f t="shared" si="26"/>
        <v>16233680.310728444</v>
      </c>
      <c r="N19" s="311">
        <f t="shared" si="26"/>
        <v>16495042.563731171</v>
      </c>
      <c r="O19" s="311">
        <f t="shared" si="26"/>
        <v>16760612.749007244</v>
      </c>
      <c r="P19" s="311">
        <f t="shared" si="26"/>
        <v>17030458.614266261</v>
      </c>
      <c r="Q19" s="311">
        <f t="shared" si="26"/>
        <v>17304648.997955948</v>
      </c>
      <c r="R19" s="311">
        <f t="shared" si="26"/>
        <v>17583253.84682304</v>
      </c>
      <c r="S19" s="311">
        <f t="shared" si="26"/>
        <v>17866344.233756892</v>
      </c>
      <c r="T19" s="311">
        <f t="shared" si="26"/>
        <v>18153992.375920378</v>
      </c>
      <c r="U19" s="311">
        <f t="shared" si="26"/>
        <v>18446271.653172694</v>
      </c>
      <c r="V19" s="311">
        <f t="shared" si="26"/>
        <v>18743256.626788773</v>
      </c>
      <c r="W19" s="311">
        <f t="shared" si="26"/>
        <v>19045023.058480073</v>
      </c>
      <c r="X19" s="311">
        <f t="shared" si="26"/>
        <v>19351647.929721601</v>
      </c>
      <c r="Y19" s="311">
        <f t="shared" si="26"/>
        <v>19663209.461390119</v>
      </c>
      <c r="Z19" s="311">
        <f t="shared" si="26"/>
        <v>19979787.133718502</v>
      </c>
      <c r="AA19" s="311">
        <f t="shared" si="26"/>
        <v>20301461.70657137</v>
      </c>
      <c r="AB19" s="311">
        <f t="shared" si="26"/>
        <v>20628315.240047168</v>
      </c>
      <c r="AC19" s="311">
        <f t="shared" si="26"/>
        <v>20960431.115411926</v>
      </c>
      <c r="AD19" s="311">
        <f t="shared" si="26"/>
        <v>21297894.056370057</v>
      </c>
      <c r="AE19" s="311">
        <f t="shared" si="26"/>
        <v>21640790.150677614</v>
      </c>
      <c r="AF19" s="311">
        <f t="shared" si="26"/>
        <v>21989206.872103523</v>
      </c>
      <c r="AG19" s="311">
        <f t="shared" si="26"/>
        <v>22343233.102744389</v>
      </c>
      <c r="AH19" s="311">
        <f t="shared" si="26"/>
        <v>22702959.155698575</v>
      </c>
      <c r="AI19" s="311">
        <f t="shared" si="26"/>
        <v>23068476.798105322</v>
      </c>
      <c r="AJ19" s="311">
        <f t="shared" si="26"/>
        <v>23439879.274554819</v>
      </c>
      <c r="AK19" s="311">
        <f t="shared" si="26"/>
        <v>23817261.330875151</v>
      </c>
      <c r="AL19" s="311">
        <f t="shared" si="26"/>
        <v>24200719.238302242</v>
      </c>
      <c r="AM19" s="311">
        <f t="shared" si="25"/>
        <v>24590350.818038907</v>
      </c>
      <c r="AN19" s="311">
        <f t="shared" si="25"/>
        <v>24986255.466209333</v>
      </c>
      <c r="AO19" s="311">
        <f t="shared" si="25"/>
        <v>25388534.179215305</v>
      </c>
      <c r="AP19" s="311">
        <f t="shared" si="25"/>
        <v>25797289.579500671</v>
      </c>
      <c r="AQ19" s="259">
        <f t="shared" si="25"/>
        <v>26212625.941730633</v>
      </c>
      <c r="AR19" s="259">
        <f t="shared" si="25"/>
        <v>26634649.219392497</v>
      </c>
      <c r="AS19" s="259">
        <f t="shared" si="25"/>
        <v>27063467.071824715</v>
      </c>
      <c r="AT19" s="311">
        <f t="shared" si="25"/>
        <v>27499188.891681094</v>
      </c>
      <c r="AU19" s="311">
        <f t="shared" si="25"/>
        <v>27941925.832837161</v>
      </c>
      <c r="AV19" s="259">
        <f t="shared" si="25"/>
        <v>28391790.83874584</v>
      </c>
      <c r="AW19" s="259">
        <f t="shared" si="25"/>
        <v>28848898.671249647</v>
      </c>
      <c r="AX19" s="259">
        <f t="shared" si="25"/>
        <v>29313365.939856768</v>
      </c>
      <c r="AY19" s="311">
        <f t="shared" si="25"/>
        <v>29785311.131488461</v>
      </c>
      <c r="AZ19" s="311">
        <f t="shared" si="25"/>
        <v>30264854.640705425</v>
      </c>
      <c r="BA19" s="259">
        <f t="shared" si="25"/>
        <v>30752118.800420783</v>
      </c>
      <c r="BB19" s="259">
        <f t="shared" si="25"/>
        <v>31247227.913107559</v>
      </c>
      <c r="BC19" s="259">
        <f t="shared" si="25"/>
        <v>31750308.282508589</v>
      </c>
      <c r="BD19" s="311">
        <f t="shared" si="25"/>
        <v>32261488.245856978</v>
      </c>
      <c r="BE19" s="311">
        <f t="shared" si="25"/>
        <v>32780898.206615277</v>
      </c>
    </row>
    <row r="20" spans="1:57" ht="24" customHeight="1" x14ac:dyDescent="0.25">
      <c r="A20" s="324" t="s">
        <v>263</v>
      </c>
      <c r="B20" s="236" t="s">
        <v>112</v>
      </c>
      <c r="C20" s="259" t="e">
        <f>+#REF!</f>
        <v>#REF!</v>
      </c>
      <c r="D20" s="259" t="e">
        <f t="shared" si="0"/>
        <v>#REF!</v>
      </c>
      <c r="E20" s="294" t="e">
        <f t="shared" si="24"/>
        <v>#REF!</v>
      </c>
      <c r="F20" s="311" t="e">
        <f t="shared" si="27"/>
        <v>#REF!</v>
      </c>
      <c r="G20" s="311" t="e">
        <f>F20+(F20*$C$33)</f>
        <v>#REF!</v>
      </c>
      <c r="H20" s="311" t="e">
        <f t="shared" si="26"/>
        <v>#REF!</v>
      </c>
      <c r="I20" s="311" t="e">
        <f t="shared" si="26"/>
        <v>#REF!</v>
      </c>
      <c r="J20" s="311" t="e">
        <f t="shared" si="26"/>
        <v>#REF!</v>
      </c>
      <c r="K20" s="311" t="e">
        <f t="shared" si="26"/>
        <v>#REF!</v>
      </c>
      <c r="L20" s="311" t="e">
        <f t="shared" si="26"/>
        <v>#REF!</v>
      </c>
      <c r="M20" s="311" t="e">
        <f t="shared" si="26"/>
        <v>#REF!</v>
      </c>
      <c r="N20" s="311" t="e">
        <f t="shared" si="26"/>
        <v>#REF!</v>
      </c>
      <c r="O20" s="311" t="e">
        <f t="shared" si="26"/>
        <v>#REF!</v>
      </c>
      <c r="P20" s="311" t="e">
        <f t="shared" si="26"/>
        <v>#REF!</v>
      </c>
      <c r="Q20" s="311" t="e">
        <f t="shared" si="26"/>
        <v>#REF!</v>
      </c>
      <c r="R20" s="311" t="e">
        <f t="shared" si="26"/>
        <v>#REF!</v>
      </c>
      <c r="S20" s="311" t="e">
        <f t="shared" si="26"/>
        <v>#REF!</v>
      </c>
      <c r="T20" s="311" t="e">
        <f t="shared" si="26"/>
        <v>#REF!</v>
      </c>
      <c r="U20" s="311" t="e">
        <f t="shared" si="26"/>
        <v>#REF!</v>
      </c>
      <c r="V20" s="311" t="e">
        <f t="shared" si="26"/>
        <v>#REF!</v>
      </c>
      <c r="W20" s="311" t="e">
        <f t="shared" si="26"/>
        <v>#REF!</v>
      </c>
      <c r="X20" s="311" t="e">
        <f t="shared" si="26"/>
        <v>#REF!</v>
      </c>
      <c r="Y20" s="311" t="e">
        <f t="shared" si="26"/>
        <v>#REF!</v>
      </c>
      <c r="Z20" s="311" t="e">
        <f t="shared" si="26"/>
        <v>#REF!</v>
      </c>
      <c r="AA20" s="311" t="e">
        <f t="shared" si="26"/>
        <v>#REF!</v>
      </c>
      <c r="AB20" s="311" t="e">
        <f t="shared" si="26"/>
        <v>#REF!</v>
      </c>
      <c r="AC20" s="311" t="e">
        <f t="shared" si="26"/>
        <v>#REF!</v>
      </c>
      <c r="AD20" s="311" t="e">
        <f t="shared" si="26"/>
        <v>#REF!</v>
      </c>
      <c r="AE20" s="311" t="e">
        <f t="shared" si="26"/>
        <v>#REF!</v>
      </c>
      <c r="AF20" s="311" t="e">
        <f t="shared" si="26"/>
        <v>#REF!</v>
      </c>
      <c r="AG20" s="311" t="e">
        <f t="shared" si="26"/>
        <v>#REF!</v>
      </c>
      <c r="AH20" s="311" t="e">
        <f t="shared" si="26"/>
        <v>#REF!</v>
      </c>
      <c r="AI20" s="311" t="e">
        <f t="shared" si="26"/>
        <v>#REF!</v>
      </c>
      <c r="AJ20" s="311" t="e">
        <f t="shared" si="26"/>
        <v>#REF!</v>
      </c>
      <c r="AK20" s="311" t="e">
        <f t="shared" si="26"/>
        <v>#REF!</v>
      </c>
      <c r="AL20" s="311" t="e">
        <f t="shared" si="26"/>
        <v>#REF!</v>
      </c>
      <c r="AM20" s="311" t="e">
        <f t="shared" si="25"/>
        <v>#REF!</v>
      </c>
      <c r="AN20" s="311" t="e">
        <f t="shared" si="25"/>
        <v>#REF!</v>
      </c>
      <c r="AO20" s="311" t="e">
        <f t="shared" si="25"/>
        <v>#REF!</v>
      </c>
      <c r="AP20" s="311" t="e">
        <f t="shared" si="25"/>
        <v>#REF!</v>
      </c>
      <c r="AQ20" s="259" t="e">
        <f t="shared" si="25"/>
        <v>#REF!</v>
      </c>
      <c r="AR20" s="259" t="e">
        <f t="shared" si="25"/>
        <v>#REF!</v>
      </c>
      <c r="AS20" s="259" t="e">
        <f t="shared" si="25"/>
        <v>#REF!</v>
      </c>
      <c r="AT20" s="259" t="e">
        <f t="shared" si="25"/>
        <v>#REF!</v>
      </c>
      <c r="AU20" s="259" t="e">
        <f t="shared" si="25"/>
        <v>#REF!</v>
      </c>
      <c r="AV20" s="259" t="e">
        <f t="shared" si="25"/>
        <v>#REF!</v>
      </c>
      <c r="AW20" s="259" t="e">
        <f t="shared" si="25"/>
        <v>#REF!</v>
      </c>
      <c r="AX20" s="259" t="e">
        <f t="shared" si="25"/>
        <v>#REF!</v>
      </c>
      <c r="AY20" s="259" t="e">
        <f t="shared" si="25"/>
        <v>#REF!</v>
      </c>
      <c r="AZ20" s="259" t="e">
        <f t="shared" si="25"/>
        <v>#REF!</v>
      </c>
      <c r="BA20" s="259" t="e">
        <f t="shared" si="25"/>
        <v>#REF!</v>
      </c>
      <c r="BB20" s="259" t="e">
        <f t="shared" si="25"/>
        <v>#REF!</v>
      </c>
      <c r="BC20" s="259" t="e">
        <f t="shared" si="25"/>
        <v>#REF!</v>
      </c>
      <c r="BD20" s="259" t="e">
        <f t="shared" si="25"/>
        <v>#REF!</v>
      </c>
      <c r="BE20" s="259" t="e">
        <f t="shared" si="25"/>
        <v>#REF!</v>
      </c>
    </row>
    <row r="21" spans="1:57" ht="24" customHeight="1" x14ac:dyDescent="0.25">
      <c r="A21" s="324" t="s">
        <v>218</v>
      </c>
      <c r="B21" s="236" t="s">
        <v>112</v>
      </c>
      <c r="C21" s="259">
        <f>+Habitats_acuaticos!E18</f>
        <v>311600259.18486542</v>
      </c>
      <c r="D21" s="259">
        <f t="shared" si="0"/>
        <v>316563175.71340704</v>
      </c>
      <c r="E21" s="294">
        <f t="shared" si="24"/>
        <v>4083366036.3997941</v>
      </c>
      <c r="F21" s="311">
        <f t="shared" si="27"/>
        <v>316563175.71340704</v>
      </c>
      <c r="G21" s="311">
        <f>F21+(F21*$C$33)</f>
        <v>321659842.84239292</v>
      </c>
      <c r="H21" s="311">
        <f t="shared" si="26"/>
        <v>326838566.31215543</v>
      </c>
      <c r="I21" s="311">
        <f t="shared" si="26"/>
        <v>332100667.22978115</v>
      </c>
      <c r="J21" s="311">
        <f t="shared" si="26"/>
        <v>337447487.9721806</v>
      </c>
      <c r="K21" s="311">
        <f t="shared" si="26"/>
        <v>342880392.52853268</v>
      </c>
      <c r="L21" s="311">
        <f t="shared" si="26"/>
        <v>348400766.84824204</v>
      </c>
      <c r="M21" s="311">
        <f t="shared" si="26"/>
        <v>354010019.19449872</v>
      </c>
      <c r="N21" s="311">
        <f t="shared" si="26"/>
        <v>359709580.50353014</v>
      </c>
      <c r="O21" s="311">
        <f t="shared" si="26"/>
        <v>365500904.74963701</v>
      </c>
      <c r="P21" s="311">
        <f t="shared" si="26"/>
        <v>371385469.31610614</v>
      </c>
      <c r="Q21" s="311">
        <f t="shared" si="26"/>
        <v>377364775.37209547</v>
      </c>
      <c r="R21" s="311">
        <f t="shared" si="26"/>
        <v>383440348.25558621</v>
      </c>
      <c r="S21" s="311">
        <f t="shared" si="26"/>
        <v>389613737.86250114</v>
      </c>
      <c r="T21" s="311">
        <f t="shared" si="26"/>
        <v>395886519.04208744</v>
      </c>
      <c r="U21" s="311">
        <f t="shared" si="26"/>
        <v>402260291.99866503</v>
      </c>
      <c r="V21" s="311">
        <f t="shared" si="26"/>
        <v>408736682.69984353</v>
      </c>
      <c r="W21" s="311">
        <f t="shared" si="26"/>
        <v>415317343.29131103</v>
      </c>
      <c r="X21" s="311">
        <f t="shared" si="26"/>
        <v>422003952.51830113</v>
      </c>
      <c r="Y21" s="311">
        <f t="shared" si="26"/>
        <v>428798216.15384579</v>
      </c>
      <c r="Z21" s="311">
        <f t="shared" si="26"/>
        <v>435701867.43392271</v>
      </c>
      <c r="AA21" s="311">
        <f t="shared" si="26"/>
        <v>442716667.49960887</v>
      </c>
      <c r="AB21" s="311">
        <f t="shared" si="26"/>
        <v>449844405.84635258</v>
      </c>
      <c r="AC21" s="311">
        <f t="shared" si="26"/>
        <v>457086900.78047884</v>
      </c>
      <c r="AD21" s="311">
        <f t="shared" si="26"/>
        <v>464445999.88304454</v>
      </c>
      <c r="AE21" s="311">
        <f t="shared" si="26"/>
        <v>471923580.48116153</v>
      </c>
      <c r="AF21" s="311">
        <f t="shared" si="26"/>
        <v>479521550.12690824</v>
      </c>
      <c r="AG21" s="311">
        <f t="shared" si="26"/>
        <v>487241847.08395147</v>
      </c>
      <c r="AH21" s="311">
        <f t="shared" si="26"/>
        <v>495086440.82200307</v>
      </c>
      <c r="AI21" s="311">
        <f t="shared" si="26"/>
        <v>503057332.51923734</v>
      </c>
      <c r="AJ21" s="311">
        <f t="shared" si="26"/>
        <v>511156555.57279706</v>
      </c>
      <c r="AK21" s="311">
        <f t="shared" si="26"/>
        <v>519386176.11751908</v>
      </c>
      <c r="AL21" s="311">
        <f t="shared" si="26"/>
        <v>527748293.55301112</v>
      </c>
      <c r="AM21" s="311">
        <f t="shared" si="25"/>
        <v>536245041.07921457</v>
      </c>
      <c r="AN21" s="311">
        <f t="shared" si="25"/>
        <v>544878586.24058998</v>
      </c>
      <c r="AO21" s="311">
        <f t="shared" si="25"/>
        <v>553651131.47906351</v>
      </c>
      <c r="AP21" s="311">
        <f t="shared" si="25"/>
        <v>562564914.69587648</v>
      </c>
      <c r="AQ21" s="259">
        <f t="shared" si="25"/>
        <v>571622209.82248008</v>
      </c>
      <c r="AR21" s="259">
        <f t="shared" si="25"/>
        <v>580825327.40062201</v>
      </c>
      <c r="AS21" s="259">
        <f t="shared" si="25"/>
        <v>590176615.171772</v>
      </c>
      <c r="AT21" s="259">
        <f t="shared" si="25"/>
        <v>599678458.67603755</v>
      </c>
      <c r="AU21" s="259">
        <f t="shared" si="25"/>
        <v>609333281.86072171</v>
      </c>
      <c r="AV21" s="259">
        <f t="shared" si="25"/>
        <v>619143547.69867933</v>
      </c>
      <c r="AW21" s="259">
        <f t="shared" si="25"/>
        <v>629111758.8166281</v>
      </c>
      <c r="AX21" s="259">
        <f t="shared" si="25"/>
        <v>639240458.1335758</v>
      </c>
      <c r="AY21" s="259">
        <f t="shared" si="25"/>
        <v>649532229.50952637</v>
      </c>
      <c r="AZ21" s="259">
        <f t="shared" si="25"/>
        <v>659989698.40462971</v>
      </c>
      <c r="BA21" s="259">
        <f t="shared" si="25"/>
        <v>670615532.54894423</v>
      </c>
      <c r="BB21" s="259">
        <f t="shared" si="25"/>
        <v>681412442.62298226</v>
      </c>
      <c r="BC21" s="259">
        <f t="shared" si="25"/>
        <v>692383182.94921231</v>
      </c>
      <c r="BD21" s="259">
        <f t="shared" si="25"/>
        <v>703530552.19469464</v>
      </c>
      <c r="BE21" s="259">
        <f t="shared" si="25"/>
        <v>714857394.08502924</v>
      </c>
    </row>
    <row r="22" spans="1:57" ht="24" customHeight="1" x14ac:dyDescent="0.25">
      <c r="A22" s="324" t="s">
        <v>248</v>
      </c>
      <c r="B22" s="236" t="s">
        <v>112</v>
      </c>
      <c r="C22" s="259">
        <f>+Corredores_acuaticos!D13</f>
        <v>76315025.336986959</v>
      </c>
      <c r="D22" s="259">
        <f t="shared" si="0"/>
        <v>77530509.244515762</v>
      </c>
      <c r="E22" s="294">
        <f t="shared" si="24"/>
        <v>1000070357.2687465</v>
      </c>
      <c r="F22" s="311">
        <f t="shared" si="27"/>
        <v>77530509.244515762</v>
      </c>
      <c r="G22" s="311">
        <f>F22+(F22*$C$33)</f>
        <v>78778750.443352461</v>
      </c>
      <c r="H22" s="311">
        <f t="shared" si="26"/>
        <v>80047088.32549043</v>
      </c>
      <c r="I22" s="311">
        <f t="shared" si="26"/>
        <v>81335846.447530821</v>
      </c>
      <c r="J22" s="311">
        <f t="shared" si="26"/>
        <v>82645353.575336069</v>
      </c>
      <c r="K22" s="311">
        <f t="shared" si="26"/>
        <v>83975943.767898977</v>
      </c>
      <c r="L22" s="311">
        <f t="shared" si="26"/>
        <v>85327956.462562144</v>
      </c>
      <c r="M22" s="311">
        <f t="shared" si="26"/>
        <v>86701736.561609387</v>
      </c>
      <c r="N22" s="311">
        <f t="shared" si="26"/>
        <v>88097634.520251304</v>
      </c>
      <c r="O22" s="311">
        <f t="shared" si="26"/>
        <v>89516006.436027348</v>
      </c>
      <c r="P22" s="311">
        <f t="shared" si="26"/>
        <v>90957214.139647394</v>
      </c>
      <c r="Q22" s="311">
        <f t="shared" si="26"/>
        <v>92421625.287295714</v>
      </c>
      <c r="R22" s="311">
        <f t="shared" si="26"/>
        <v>93909613.454421178</v>
      </c>
      <c r="S22" s="311">
        <f t="shared" si="26"/>
        <v>95421558.231037363</v>
      </c>
      <c r="T22" s="311">
        <f t="shared" si="26"/>
        <v>96957845.318557069</v>
      </c>
      <c r="U22" s="311">
        <f t="shared" si="26"/>
        <v>98518866.628185838</v>
      </c>
      <c r="V22" s="311">
        <f t="shared" si="26"/>
        <v>100105020.38089964</v>
      </c>
      <c r="W22" s="311">
        <f t="shared" si="26"/>
        <v>101716711.20903212</v>
      </c>
      <c r="X22" s="311">
        <f t="shared" si="26"/>
        <v>103354350.25949754</v>
      </c>
      <c r="Y22" s="311">
        <f t="shared" si="26"/>
        <v>105018355.29867545</v>
      </c>
      <c r="Z22" s="311">
        <f t="shared" si="26"/>
        <v>106709150.81898412</v>
      </c>
      <c r="AA22" s="311">
        <f t="shared" si="26"/>
        <v>108427168.14716977</v>
      </c>
      <c r="AB22" s="311">
        <f t="shared" si="26"/>
        <v>110172845.5543392</v>
      </c>
      <c r="AC22" s="311">
        <f t="shared" si="26"/>
        <v>111946628.36776406</v>
      </c>
      <c r="AD22" s="311">
        <f t="shared" si="26"/>
        <v>113748969.08448505</v>
      </c>
      <c r="AE22" s="311">
        <f t="shared" si="26"/>
        <v>115580327.48674527</v>
      </c>
      <c r="AF22" s="311">
        <f t="shared" si="26"/>
        <v>117441170.75928187</v>
      </c>
      <c r="AG22" s="311">
        <f t="shared" si="26"/>
        <v>119331973.60850631</v>
      </c>
      <c r="AH22" s="311">
        <f t="shared" si="26"/>
        <v>121253218.38360326</v>
      </c>
      <c r="AI22" s="311">
        <f t="shared" si="26"/>
        <v>123205395.19957927</v>
      </c>
      <c r="AJ22" s="311">
        <f t="shared" si="26"/>
        <v>125189002.0622925</v>
      </c>
      <c r="AK22" s="311">
        <f t="shared" si="26"/>
        <v>127204544.99549541</v>
      </c>
      <c r="AL22" s="311">
        <f t="shared" si="26"/>
        <v>129252538.16992289</v>
      </c>
      <c r="AM22" s="311">
        <f t="shared" si="25"/>
        <v>131333504.03445865</v>
      </c>
      <c r="AN22" s="311">
        <f t="shared" si="25"/>
        <v>133447973.44941343</v>
      </c>
      <c r="AO22" s="311">
        <f t="shared" si="25"/>
        <v>135596485.82194898</v>
      </c>
      <c r="AP22" s="311">
        <f t="shared" si="25"/>
        <v>137779589.24368235</v>
      </c>
      <c r="AQ22" s="259">
        <f t="shared" si="25"/>
        <v>139997840.63050565</v>
      </c>
      <c r="AR22" s="259">
        <f t="shared" si="25"/>
        <v>142251805.86465681</v>
      </c>
      <c r="AS22" s="259">
        <f t="shared" si="25"/>
        <v>144542059.93907779</v>
      </c>
      <c r="AT22" s="259">
        <f t="shared" si="25"/>
        <v>146869187.10409695</v>
      </c>
      <c r="AU22" s="259">
        <f t="shared" si="25"/>
        <v>149233781.01647291</v>
      </c>
      <c r="AV22" s="259">
        <f t="shared" si="25"/>
        <v>151636444.89083812</v>
      </c>
      <c r="AW22" s="259">
        <f t="shared" si="25"/>
        <v>154077791.65358061</v>
      </c>
      <c r="AX22" s="259">
        <f t="shared" si="25"/>
        <v>156558444.09920326</v>
      </c>
      <c r="AY22" s="259">
        <f t="shared" si="25"/>
        <v>159079035.04920045</v>
      </c>
      <c r="AZ22" s="259">
        <f t="shared" si="25"/>
        <v>161640207.51349258</v>
      </c>
      <c r="BA22" s="259">
        <f t="shared" si="25"/>
        <v>164242614.85445982</v>
      </c>
      <c r="BB22" s="259">
        <f t="shared" si="25"/>
        <v>166886920.95361662</v>
      </c>
      <c r="BC22" s="259">
        <f t="shared" si="25"/>
        <v>169573800.38096985</v>
      </c>
      <c r="BD22" s="259">
        <f t="shared" si="25"/>
        <v>172303938.56710348</v>
      </c>
      <c r="BE22" s="259">
        <f t="shared" si="25"/>
        <v>175078031.97803384</v>
      </c>
    </row>
    <row r="23" spans="1:57" ht="24" customHeight="1" x14ac:dyDescent="0.25">
      <c r="A23" s="324" t="s">
        <v>336</v>
      </c>
      <c r="B23" s="236" t="s">
        <v>112</v>
      </c>
      <c r="C23" s="259">
        <f>+Alteracion_recreacion!F12</f>
        <v>8056271.8758339016</v>
      </c>
      <c r="D23" s="259">
        <f t="shared" si="0"/>
        <v>8184585.648600311</v>
      </c>
      <c r="E23" s="294">
        <f t="shared" si="24"/>
        <v>105573426.17056726</v>
      </c>
      <c r="F23" s="311">
        <f t="shared" si="27"/>
        <v>8184585.648600311</v>
      </c>
      <c r="G23" s="311">
        <f>F23+(F23*$C$33)</f>
        <v>8316357.4775427757</v>
      </c>
      <c r="H23" s="311">
        <f t="shared" si="26"/>
        <v>8450250.8329312149</v>
      </c>
      <c r="I23" s="311">
        <f t="shared" si="26"/>
        <v>8586299.8713414073</v>
      </c>
      <c r="J23" s="311">
        <f t="shared" si="26"/>
        <v>8724539.299270004</v>
      </c>
      <c r="K23" s="311">
        <f t="shared" si="26"/>
        <v>8865004.3819882516</v>
      </c>
      <c r="L23" s="311">
        <f t="shared" si="26"/>
        <v>9007730.9525382631</v>
      </c>
      <c r="M23" s="311">
        <f t="shared" si="26"/>
        <v>9152755.42087413</v>
      </c>
      <c r="N23" s="311">
        <f t="shared" si="26"/>
        <v>9300114.7831502035</v>
      </c>
      <c r="O23" s="311">
        <f t="shared" si="26"/>
        <v>9449846.6311589219</v>
      </c>
      <c r="P23" s="311">
        <f t="shared" si="26"/>
        <v>9601989.161920581</v>
      </c>
      <c r="Q23" s="311">
        <f t="shared" si="26"/>
        <v>9756581.1874275021</v>
      </c>
      <c r="R23" s="311">
        <f t="shared" si="26"/>
        <v>9913662.1445450857</v>
      </c>
      <c r="S23" s="311">
        <f t="shared" si="26"/>
        <v>10073272.105072262</v>
      </c>
      <c r="T23" s="311">
        <f t="shared" si="26"/>
        <v>10235451.785963925</v>
      </c>
      <c r="U23" s="311">
        <f t="shared" si="26"/>
        <v>10400242.559717944</v>
      </c>
      <c r="V23" s="311">
        <f t="shared" si="26"/>
        <v>10567686.464929402</v>
      </c>
      <c r="W23" s="311">
        <f t="shared" si="26"/>
        <v>10737826.217014765</v>
      </c>
      <c r="X23" s="311">
        <f t="shared" si="26"/>
        <v>10910705.219108703</v>
      </c>
      <c r="Y23" s="311">
        <f t="shared" si="26"/>
        <v>11086367.573136352</v>
      </c>
      <c r="Z23" s="311">
        <f t="shared" si="26"/>
        <v>11264858.091063848</v>
      </c>
      <c r="AA23" s="311">
        <f t="shared" si="26"/>
        <v>11446222.306329975</v>
      </c>
      <c r="AB23" s="311">
        <f t="shared" si="26"/>
        <v>11630506.485461887</v>
      </c>
      <c r="AC23" s="311">
        <f t="shared" si="26"/>
        <v>11817757.639877824</v>
      </c>
      <c r="AD23" s="311">
        <f t="shared" si="26"/>
        <v>12008023.537879856</v>
      </c>
      <c r="AE23" s="311">
        <f t="shared" si="26"/>
        <v>12201352.716839721</v>
      </c>
      <c r="AF23" s="311">
        <f t="shared" si="26"/>
        <v>12397794.495580841</v>
      </c>
      <c r="AG23" s="311">
        <f t="shared" si="26"/>
        <v>12597398.986959692</v>
      </c>
      <c r="AH23" s="311">
        <f t="shared" si="26"/>
        <v>12800217.110649742</v>
      </c>
      <c r="AI23" s="311">
        <f t="shared" si="26"/>
        <v>13006300.606131203</v>
      </c>
      <c r="AJ23" s="311">
        <f t="shared" si="26"/>
        <v>13215702.045889916</v>
      </c>
      <c r="AK23" s="311">
        <f t="shared" si="26"/>
        <v>13428474.848828744</v>
      </c>
      <c r="AL23" s="311">
        <f t="shared" si="26"/>
        <v>13644673.293894887</v>
      </c>
      <c r="AM23" s="311">
        <f t="shared" si="25"/>
        <v>13864352.533926595</v>
      </c>
      <c r="AN23" s="311">
        <f t="shared" si="25"/>
        <v>14087568.609722814</v>
      </c>
      <c r="AO23" s="311">
        <f t="shared" si="25"/>
        <v>14314378.464339351</v>
      </c>
      <c r="AP23" s="311">
        <f t="shared" si="25"/>
        <v>14544839.957615215</v>
      </c>
      <c r="AQ23" s="259">
        <f t="shared" si="25"/>
        <v>14779011.880932821</v>
      </c>
      <c r="AR23" s="259">
        <f t="shared" si="25"/>
        <v>15016953.972215839</v>
      </c>
      <c r="AS23" s="259">
        <f t="shared" si="25"/>
        <v>15258726.931168513</v>
      </c>
      <c r="AT23" s="259">
        <f t="shared" si="25"/>
        <v>15504392.434760327</v>
      </c>
      <c r="AU23" s="259">
        <f t="shared" si="25"/>
        <v>15754013.152959967</v>
      </c>
      <c r="AV23" s="259">
        <f t="shared" si="25"/>
        <v>16007652.764722623</v>
      </c>
      <c r="AW23" s="259">
        <f t="shared" si="25"/>
        <v>16265375.974234657</v>
      </c>
      <c r="AX23" s="259">
        <f t="shared" si="25"/>
        <v>16527248.527419835</v>
      </c>
      <c r="AY23" s="259">
        <f t="shared" si="25"/>
        <v>16793337.228711296</v>
      </c>
      <c r="AZ23" s="259">
        <f t="shared" si="25"/>
        <v>17063709.958093546</v>
      </c>
      <c r="BA23" s="259">
        <f t="shared" si="25"/>
        <v>17338435.688418854</v>
      </c>
      <c r="BB23" s="259">
        <f t="shared" si="25"/>
        <v>17617584.503002398</v>
      </c>
      <c r="BC23" s="259">
        <f t="shared" si="25"/>
        <v>17901227.613500737</v>
      </c>
      <c r="BD23" s="259">
        <f t="shared" si="25"/>
        <v>18189437.378078099</v>
      </c>
      <c r="BE23" s="259">
        <f t="shared" si="25"/>
        <v>18482287.319865156</v>
      </c>
    </row>
    <row r="24" spans="1:57" s="247" customFormat="1" x14ac:dyDescent="0.25">
      <c r="A24" s="241" t="s">
        <v>116</v>
      </c>
      <c r="B24" s="236" t="s">
        <v>364</v>
      </c>
      <c r="C24" s="259" t="e">
        <f>SUM(C13:C23)</f>
        <v>#REF!</v>
      </c>
      <c r="D24" s="259" t="e">
        <f>SUM(D13:D23)</f>
        <v>#REF!</v>
      </c>
      <c r="E24" s="294" t="e">
        <f>F24+NPV($C$34,G24:BE24)</f>
        <v>#REF!</v>
      </c>
      <c r="F24" s="313" t="e">
        <f>SUM(F13:F23)</f>
        <v>#REF!</v>
      </c>
      <c r="G24" s="313" t="e">
        <f>SUM(G13:G23)</f>
        <v>#REF!</v>
      </c>
      <c r="H24" s="313" t="e">
        <f t="shared" ref="H24:BE24" si="28">SUM(H13:H23)</f>
        <v>#REF!</v>
      </c>
      <c r="I24" s="313" t="e">
        <f t="shared" si="28"/>
        <v>#REF!</v>
      </c>
      <c r="J24" s="313" t="e">
        <f t="shared" si="28"/>
        <v>#REF!</v>
      </c>
      <c r="K24" s="313" t="e">
        <f t="shared" si="28"/>
        <v>#REF!</v>
      </c>
      <c r="L24" s="313" t="e">
        <f t="shared" si="28"/>
        <v>#REF!</v>
      </c>
      <c r="M24" s="313" t="e">
        <f t="shared" si="28"/>
        <v>#REF!</v>
      </c>
      <c r="N24" s="313" t="e">
        <f t="shared" si="28"/>
        <v>#REF!</v>
      </c>
      <c r="O24" s="313" t="e">
        <f t="shared" si="28"/>
        <v>#REF!</v>
      </c>
      <c r="P24" s="313" t="e">
        <f t="shared" si="28"/>
        <v>#REF!</v>
      </c>
      <c r="Q24" s="313" t="e">
        <f t="shared" si="28"/>
        <v>#REF!</v>
      </c>
      <c r="R24" s="313" t="e">
        <f t="shared" si="28"/>
        <v>#REF!</v>
      </c>
      <c r="S24" s="313" t="e">
        <f t="shared" si="28"/>
        <v>#REF!</v>
      </c>
      <c r="T24" s="313" t="e">
        <f t="shared" si="28"/>
        <v>#REF!</v>
      </c>
      <c r="U24" s="313" t="e">
        <f t="shared" si="28"/>
        <v>#REF!</v>
      </c>
      <c r="V24" s="313" t="e">
        <f t="shared" si="28"/>
        <v>#REF!</v>
      </c>
      <c r="W24" s="313" t="e">
        <f t="shared" si="28"/>
        <v>#REF!</v>
      </c>
      <c r="X24" s="313" t="e">
        <f t="shared" si="28"/>
        <v>#REF!</v>
      </c>
      <c r="Y24" s="313" t="e">
        <f t="shared" si="28"/>
        <v>#REF!</v>
      </c>
      <c r="Z24" s="313" t="e">
        <f t="shared" si="28"/>
        <v>#REF!</v>
      </c>
      <c r="AA24" s="313" t="e">
        <f t="shared" si="28"/>
        <v>#REF!</v>
      </c>
      <c r="AB24" s="313" t="e">
        <f t="shared" si="28"/>
        <v>#REF!</v>
      </c>
      <c r="AC24" s="313" t="e">
        <f t="shared" si="28"/>
        <v>#REF!</v>
      </c>
      <c r="AD24" s="313" t="e">
        <f t="shared" si="28"/>
        <v>#REF!</v>
      </c>
      <c r="AE24" s="313" t="e">
        <f t="shared" si="28"/>
        <v>#REF!</v>
      </c>
      <c r="AF24" s="313" t="e">
        <f t="shared" si="28"/>
        <v>#REF!</v>
      </c>
      <c r="AG24" s="313" t="e">
        <f t="shared" si="28"/>
        <v>#REF!</v>
      </c>
      <c r="AH24" s="313" t="e">
        <f t="shared" si="28"/>
        <v>#REF!</v>
      </c>
      <c r="AI24" s="313" t="e">
        <f t="shared" si="28"/>
        <v>#REF!</v>
      </c>
      <c r="AJ24" s="313" t="e">
        <f t="shared" si="28"/>
        <v>#REF!</v>
      </c>
      <c r="AK24" s="313" t="e">
        <f t="shared" si="28"/>
        <v>#REF!</v>
      </c>
      <c r="AL24" s="313" t="e">
        <f t="shared" si="28"/>
        <v>#REF!</v>
      </c>
      <c r="AM24" s="313" t="e">
        <f t="shared" si="28"/>
        <v>#REF!</v>
      </c>
      <c r="AN24" s="313" t="e">
        <f t="shared" si="28"/>
        <v>#REF!</v>
      </c>
      <c r="AO24" s="313" t="e">
        <f t="shared" si="28"/>
        <v>#REF!</v>
      </c>
      <c r="AP24" s="313" t="e">
        <f t="shared" si="28"/>
        <v>#REF!</v>
      </c>
      <c r="AQ24" s="313" t="e">
        <f t="shared" si="28"/>
        <v>#REF!</v>
      </c>
      <c r="AR24" s="313" t="e">
        <f t="shared" si="28"/>
        <v>#REF!</v>
      </c>
      <c r="AS24" s="313" t="e">
        <f t="shared" si="28"/>
        <v>#REF!</v>
      </c>
      <c r="AT24" s="313" t="e">
        <f t="shared" si="28"/>
        <v>#REF!</v>
      </c>
      <c r="AU24" s="313" t="e">
        <f t="shared" si="28"/>
        <v>#REF!</v>
      </c>
      <c r="AV24" s="313" t="e">
        <f t="shared" si="28"/>
        <v>#REF!</v>
      </c>
      <c r="AW24" s="313" t="e">
        <f t="shared" si="28"/>
        <v>#REF!</v>
      </c>
      <c r="AX24" s="313" t="e">
        <f t="shared" si="28"/>
        <v>#REF!</v>
      </c>
      <c r="AY24" s="313" t="e">
        <f t="shared" si="28"/>
        <v>#REF!</v>
      </c>
      <c r="AZ24" s="313" t="e">
        <f t="shared" si="28"/>
        <v>#REF!</v>
      </c>
      <c r="BA24" s="313" t="e">
        <f t="shared" si="28"/>
        <v>#REF!</v>
      </c>
      <c r="BB24" s="313" t="e">
        <f t="shared" si="28"/>
        <v>#REF!</v>
      </c>
      <c r="BC24" s="313" t="e">
        <f t="shared" si="28"/>
        <v>#REF!</v>
      </c>
      <c r="BD24" s="313" t="e">
        <f t="shared" si="28"/>
        <v>#REF!</v>
      </c>
      <c r="BE24" s="313" t="e">
        <f t="shared" si="28"/>
        <v>#REF!</v>
      </c>
    </row>
    <row r="25" spans="1:57" x14ac:dyDescent="0.25">
      <c r="A25" s="241" t="s">
        <v>117</v>
      </c>
      <c r="B25" s="236" t="s">
        <v>364</v>
      </c>
      <c r="C25" s="314"/>
      <c r="D25" s="294" t="e">
        <f>+E24</f>
        <v>#REF!</v>
      </c>
      <c r="E25" s="294"/>
      <c r="F25" s="311"/>
      <c r="G25" s="311"/>
      <c r="H25" s="311"/>
      <c r="I25" s="311"/>
      <c r="J25" s="311"/>
      <c r="K25" s="311"/>
      <c r="L25" s="311"/>
      <c r="M25" s="311"/>
      <c r="N25" s="311"/>
      <c r="O25" s="311"/>
      <c r="P25" s="311"/>
      <c r="Q25" s="311"/>
      <c r="R25" s="311"/>
      <c r="S25" s="311"/>
      <c r="T25" s="311"/>
      <c r="U25" s="311"/>
      <c r="V25" s="311"/>
      <c r="W25" s="311"/>
      <c r="X25" s="311"/>
      <c r="Y25" s="311"/>
      <c r="Z25" s="311"/>
      <c r="AA25" s="311"/>
      <c r="AB25" s="311"/>
      <c r="AC25" s="311"/>
      <c r="AD25" s="311"/>
      <c r="AE25" s="311"/>
      <c r="AF25" s="311"/>
      <c r="AG25" s="311"/>
      <c r="AH25" s="311"/>
      <c r="AI25" s="311"/>
      <c r="AJ25" s="311"/>
      <c r="AK25" s="311"/>
      <c r="AL25" s="311"/>
      <c r="AM25" s="311"/>
      <c r="AN25" s="311"/>
      <c r="AO25" s="311"/>
      <c r="AP25" s="311"/>
      <c r="AQ25" s="236"/>
      <c r="AR25" s="236"/>
      <c r="AS25" s="236"/>
    </row>
    <row r="26" spans="1:57" s="247" customFormat="1" x14ac:dyDescent="0.25">
      <c r="A26" s="241" t="s">
        <v>118</v>
      </c>
      <c r="B26" s="236" t="s">
        <v>364</v>
      </c>
      <c r="C26" s="241"/>
      <c r="D26" s="259"/>
      <c r="E26" s="294" t="e">
        <f>F26+NPV($C$34,G26:BE26)</f>
        <v>#REF!</v>
      </c>
      <c r="F26" s="312" t="e">
        <f t="shared" ref="F26:BE26" si="29">F10-F24</f>
        <v>#REF!</v>
      </c>
      <c r="G26" s="312" t="e">
        <f t="shared" si="29"/>
        <v>#REF!</v>
      </c>
      <c r="H26" s="312" t="e">
        <f t="shared" si="29"/>
        <v>#REF!</v>
      </c>
      <c r="I26" s="312" t="e">
        <f t="shared" si="29"/>
        <v>#REF!</v>
      </c>
      <c r="J26" s="312" t="e">
        <f t="shared" si="29"/>
        <v>#REF!</v>
      </c>
      <c r="K26" s="312" t="e">
        <f t="shared" si="29"/>
        <v>#REF!</v>
      </c>
      <c r="L26" s="312" t="e">
        <f t="shared" si="29"/>
        <v>#REF!</v>
      </c>
      <c r="M26" s="312" t="e">
        <f t="shared" si="29"/>
        <v>#REF!</v>
      </c>
      <c r="N26" s="312" t="e">
        <f t="shared" si="29"/>
        <v>#REF!</v>
      </c>
      <c r="O26" s="312" t="e">
        <f t="shared" si="29"/>
        <v>#REF!</v>
      </c>
      <c r="P26" s="312" t="e">
        <f t="shared" si="29"/>
        <v>#REF!</v>
      </c>
      <c r="Q26" s="312" t="e">
        <f t="shared" si="29"/>
        <v>#REF!</v>
      </c>
      <c r="R26" s="312" t="e">
        <f t="shared" si="29"/>
        <v>#REF!</v>
      </c>
      <c r="S26" s="312" t="e">
        <f t="shared" si="29"/>
        <v>#REF!</v>
      </c>
      <c r="T26" s="312" t="e">
        <f t="shared" si="29"/>
        <v>#REF!</v>
      </c>
      <c r="U26" s="312" t="e">
        <f t="shared" si="29"/>
        <v>#REF!</v>
      </c>
      <c r="V26" s="312" t="e">
        <f t="shared" si="29"/>
        <v>#REF!</v>
      </c>
      <c r="W26" s="312" t="e">
        <f t="shared" si="29"/>
        <v>#REF!</v>
      </c>
      <c r="X26" s="312" t="e">
        <f t="shared" si="29"/>
        <v>#REF!</v>
      </c>
      <c r="Y26" s="312" t="e">
        <f t="shared" si="29"/>
        <v>#REF!</v>
      </c>
      <c r="Z26" s="312" t="e">
        <f t="shared" si="29"/>
        <v>#REF!</v>
      </c>
      <c r="AA26" s="312" t="e">
        <f t="shared" si="29"/>
        <v>#REF!</v>
      </c>
      <c r="AB26" s="312" t="e">
        <f t="shared" si="29"/>
        <v>#REF!</v>
      </c>
      <c r="AC26" s="312" t="e">
        <f t="shared" si="29"/>
        <v>#REF!</v>
      </c>
      <c r="AD26" s="312" t="e">
        <f t="shared" si="29"/>
        <v>#REF!</v>
      </c>
      <c r="AE26" s="312" t="e">
        <f t="shared" si="29"/>
        <v>#REF!</v>
      </c>
      <c r="AF26" s="312" t="e">
        <f t="shared" si="29"/>
        <v>#REF!</v>
      </c>
      <c r="AG26" s="312" t="e">
        <f t="shared" si="29"/>
        <v>#REF!</v>
      </c>
      <c r="AH26" s="312" t="e">
        <f t="shared" si="29"/>
        <v>#REF!</v>
      </c>
      <c r="AI26" s="312" t="e">
        <f t="shared" si="29"/>
        <v>#REF!</v>
      </c>
      <c r="AJ26" s="312" t="e">
        <f t="shared" si="29"/>
        <v>#REF!</v>
      </c>
      <c r="AK26" s="312" t="e">
        <f t="shared" si="29"/>
        <v>#REF!</v>
      </c>
      <c r="AL26" s="312" t="e">
        <f t="shared" si="29"/>
        <v>#REF!</v>
      </c>
      <c r="AM26" s="312" t="e">
        <f t="shared" si="29"/>
        <v>#REF!</v>
      </c>
      <c r="AN26" s="312" t="e">
        <f t="shared" si="29"/>
        <v>#REF!</v>
      </c>
      <c r="AO26" s="312" t="e">
        <f t="shared" si="29"/>
        <v>#REF!</v>
      </c>
      <c r="AP26" s="312" t="e">
        <f t="shared" si="29"/>
        <v>#REF!</v>
      </c>
      <c r="AQ26" s="312" t="e">
        <f t="shared" si="29"/>
        <v>#REF!</v>
      </c>
      <c r="AR26" s="312" t="e">
        <f t="shared" si="29"/>
        <v>#REF!</v>
      </c>
      <c r="AS26" s="312" t="e">
        <f t="shared" si="29"/>
        <v>#REF!</v>
      </c>
      <c r="AT26" s="312" t="e">
        <f t="shared" si="29"/>
        <v>#REF!</v>
      </c>
      <c r="AU26" s="312" t="e">
        <f t="shared" si="29"/>
        <v>#REF!</v>
      </c>
      <c r="AV26" s="312" t="e">
        <f t="shared" si="29"/>
        <v>#REF!</v>
      </c>
      <c r="AW26" s="312" t="e">
        <f t="shared" si="29"/>
        <v>#REF!</v>
      </c>
      <c r="AX26" s="312" t="e">
        <f t="shared" si="29"/>
        <v>#REF!</v>
      </c>
      <c r="AY26" s="312" t="e">
        <f t="shared" si="29"/>
        <v>#REF!</v>
      </c>
      <c r="AZ26" s="312" t="e">
        <f t="shared" si="29"/>
        <v>#REF!</v>
      </c>
      <c r="BA26" s="312" t="e">
        <f t="shared" si="29"/>
        <v>#REF!</v>
      </c>
      <c r="BB26" s="312" t="e">
        <f t="shared" si="29"/>
        <v>#REF!</v>
      </c>
      <c r="BC26" s="312" t="e">
        <f t="shared" si="29"/>
        <v>#REF!</v>
      </c>
      <c r="BD26" s="312" t="e">
        <f t="shared" si="29"/>
        <v>#REF!</v>
      </c>
      <c r="BE26" s="312" t="e">
        <f t="shared" si="29"/>
        <v>#REF!</v>
      </c>
    </row>
    <row r="27" spans="1:57" x14ac:dyDescent="0.25">
      <c r="A27" s="241" t="s">
        <v>119</v>
      </c>
      <c r="B27" s="236" t="s">
        <v>364</v>
      </c>
      <c r="C27" s="314"/>
      <c r="D27" s="294" t="e">
        <f>+E10-D25</f>
        <v>#REF!</v>
      </c>
      <c r="E27" s="294"/>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1"/>
      <c r="AL27" s="311"/>
      <c r="AM27" s="311"/>
      <c r="AN27" s="311"/>
      <c r="AO27" s="311"/>
      <c r="AP27" s="311"/>
      <c r="AQ27" s="236"/>
      <c r="AR27" s="236"/>
      <c r="AS27" s="236"/>
    </row>
    <row r="28" spans="1:57" ht="9" customHeight="1" x14ac:dyDescent="0.25">
      <c r="A28" s="247"/>
      <c r="B28" s="30"/>
    </row>
    <row r="29" spans="1:57" x14ac:dyDescent="0.25">
      <c r="A29" s="241" t="s">
        <v>120</v>
      </c>
      <c r="B29" s="347" t="e">
        <f>+D11/D25</f>
        <v>#REF!</v>
      </c>
      <c r="F29" s="319"/>
    </row>
    <row r="30" spans="1:57" ht="11.25" hidden="1" customHeight="1" x14ac:dyDescent="0.25">
      <c r="A30" s="241" t="s">
        <v>121</v>
      </c>
      <c r="B30" s="348" t="e">
        <f>IRR(F26:I26)</f>
        <v>#VALUE!</v>
      </c>
      <c r="F30" s="319"/>
    </row>
    <row r="31" spans="1:57" ht="11.25" customHeight="1" x14ac:dyDescent="0.25">
      <c r="A31" s="247"/>
      <c r="B31" s="30"/>
      <c r="F31" s="403"/>
    </row>
    <row r="32" spans="1:57" x14ac:dyDescent="0.25">
      <c r="A32" s="241" t="s">
        <v>30</v>
      </c>
      <c r="F32" s="403"/>
    </row>
    <row r="33" spans="1:6" s="30" customFormat="1" ht="14.25" customHeight="1" x14ac:dyDescent="0.25">
      <c r="A33" s="236" t="s">
        <v>122</v>
      </c>
      <c r="B33" s="247"/>
      <c r="C33" s="345">
        <v>1.61E-2</v>
      </c>
      <c r="D33" s="318"/>
      <c r="E33" s="296"/>
      <c r="F33" s="319"/>
    </row>
    <row r="34" spans="1:6" ht="14.25" customHeight="1" x14ac:dyDescent="0.25">
      <c r="A34" s="321" t="s">
        <v>455</v>
      </c>
      <c r="B34" s="76"/>
      <c r="C34" s="322">
        <v>0.1</v>
      </c>
      <c r="D34" s="349"/>
      <c r="E34" s="296"/>
    </row>
    <row r="36" spans="1:6" ht="48.75" customHeight="1" x14ac:dyDescent="0.25">
      <c r="A36" s="400" t="s">
        <v>315</v>
      </c>
      <c r="B36" s="400"/>
      <c r="C36" s="400"/>
      <c r="D36" s="400"/>
      <c r="E36" s="400"/>
    </row>
    <row r="37" spans="1:6" ht="30.75" customHeight="1" x14ac:dyDescent="0.25">
      <c r="A37" s="400" t="s">
        <v>383</v>
      </c>
      <c r="B37" s="400"/>
      <c r="C37" s="400"/>
      <c r="D37" s="400"/>
      <c r="E37" s="400"/>
    </row>
    <row r="38" spans="1:6" ht="22.5" customHeight="1" x14ac:dyDescent="0.25">
      <c r="A38" s="401" t="s">
        <v>382</v>
      </c>
      <c r="B38" s="401"/>
      <c r="C38" s="401"/>
      <c r="D38" s="401"/>
      <c r="E38" s="401"/>
    </row>
    <row r="39" spans="1:6" ht="22.5" customHeight="1" x14ac:dyDescent="0.25">
      <c r="A39" s="401" t="s">
        <v>452</v>
      </c>
      <c r="B39" s="401"/>
      <c r="C39" s="350"/>
      <c r="D39" s="351"/>
      <c r="E39" s="350"/>
    </row>
    <row r="41" spans="1:6" ht="25.5" customHeight="1" x14ac:dyDescent="0.25">
      <c r="A41" s="402" t="s">
        <v>454</v>
      </c>
      <c r="B41" s="402"/>
      <c r="C41" s="402"/>
    </row>
    <row r="42" spans="1:6" ht="13.5" thickBot="1" x14ac:dyDescent="0.3"/>
    <row r="43" spans="1:6" ht="13.5" thickBot="1" x14ac:dyDescent="0.3">
      <c r="A43" s="386" t="s">
        <v>366</v>
      </c>
      <c r="B43" s="387" t="s">
        <v>110</v>
      </c>
      <c r="C43" s="387" t="s">
        <v>367</v>
      </c>
    </row>
    <row r="44" spans="1:6" ht="13.5" thickBot="1" x14ac:dyDescent="0.3">
      <c r="A44" s="388">
        <v>0</v>
      </c>
      <c r="B44" s="384">
        <v>47904729194.936722</v>
      </c>
      <c r="C44" s="385">
        <v>1.6</v>
      </c>
    </row>
    <row r="45" spans="1:6" ht="13.5" thickBot="1" x14ac:dyDescent="0.3">
      <c r="A45" s="388">
        <v>0.05</v>
      </c>
      <c r="B45" s="384">
        <v>21029318624.453823</v>
      </c>
      <c r="C45" s="385">
        <v>1.9</v>
      </c>
    </row>
    <row r="46" spans="1:6" ht="13.5" thickBot="1" x14ac:dyDescent="0.3">
      <c r="A46" s="388">
        <v>0.1</v>
      </c>
      <c r="B46" s="384">
        <v>13956790787.455715</v>
      </c>
      <c r="C46" s="385">
        <v>2.2000000000000002</v>
      </c>
    </row>
    <row r="47" spans="1:6" ht="13.5" thickBot="1" x14ac:dyDescent="0.3">
      <c r="A47" s="388">
        <v>0.15</v>
      </c>
      <c r="B47" s="384">
        <v>10985037392.231777</v>
      </c>
      <c r="C47" s="385">
        <v>2.4</v>
      </c>
    </row>
  </sheetData>
  <mergeCells count="8">
    <mergeCell ref="A39:B39"/>
    <mergeCell ref="A41:C41"/>
    <mergeCell ref="F1:G1"/>
    <mergeCell ref="H1:BE1"/>
    <mergeCell ref="F31:F32"/>
    <mergeCell ref="A36:E36"/>
    <mergeCell ref="A37:E37"/>
    <mergeCell ref="A38:E38"/>
  </mergeCells>
  <pageMargins left="0.7" right="0.7" top="0.75" bottom="0.75" header="0.3" footer="0.3"/>
  <pageSetup paperSize="1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M55"/>
  <sheetViews>
    <sheetView topLeftCell="A41" zoomScaleNormal="100" workbookViewId="0">
      <selection activeCell="F51" sqref="F51:F56"/>
    </sheetView>
  </sheetViews>
  <sheetFormatPr baseColWidth="10" defaultColWidth="11.42578125" defaultRowHeight="14.25" x14ac:dyDescent="0.2"/>
  <cols>
    <col min="1" max="1" width="33.42578125" style="16" bestFit="1" customWidth="1"/>
    <col min="2" max="2" width="19" style="16" customWidth="1"/>
    <col min="3" max="3" width="20.7109375" style="16" customWidth="1"/>
    <col min="4" max="5" width="28.85546875" style="16" customWidth="1"/>
    <col min="6" max="6" width="19" style="16" customWidth="1"/>
    <col min="7" max="8" width="11.42578125" style="16"/>
    <col min="9" max="9" width="39.85546875" style="17" customWidth="1"/>
    <col min="10" max="10" width="11.140625" style="17" customWidth="1"/>
    <col min="11" max="11" width="4" style="17" customWidth="1"/>
    <col min="12" max="12" width="26.85546875" style="16" customWidth="1"/>
    <col min="13" max="13" width="21.5703125" style="16" customWidth="1"/>
    <col min="14" max="16384" width="11.42578125" style="16"/>
  </cols>
  <sheetData>
    <row r="1" spans="1:13" ht="15.75" x14ac:dyDescent="0.25">
      <c r="A1" s="405" t="s">
        <v>106</v>
      </c>
      <c r="B1" s="405"/>
      <c r="I1" s="407" t="s">
        <v>358</v>
      </c>
      <c r="J1" s="407"/>
      <c r="L1" s="407" t="s">
        <v>359</v>
      </c>
      <c r="M1" s="407"/>
    </row>
    <row r="2" spans="1:13" ht="16.5" customHeight="1" x14ac:dyDescent="0.25">
      <c r="A2" s="164"/>
      <c r="B2" s="164"/>
      <c r="I2" s="238" t="s">
        <v>349</v>
      </c>
      <c r="J2" s="238" t="s">
        <v>15</v>
      </c>
      <c r="L2" s="241" t="s">
        <v>352</v>
      </c>
      <c r="M2" s="241" t="s">
        <v>15</v>
      </c>
    </row>
    <row r="3" spans="1:13" ht="15" x14ac:dyDescent="0.25">
      <c r="A3" s="218" t="s">
        <v>187</v>
      </c>
      <c r="B3" s="164"/>
      <c r="D3" s="164"/>
      <c r="E3" s="164"/>
      <c r="I3" s="268" t="s">
        <v>337</v>
      </c>
      <c r="J3" s="268">
        <v>4</v>
      </c>
      <c r="L3" s="258" t="s">
        <v>353</v>
      </c>
      <c r="M3" s="236">
        <v>6</v>
      </c>
    </row>
    <row r="4" spans="1:13" ht="15" x14ac:dyDescent="0.2">
      <c r="A4" s="18" t="s">
        <v>16</v>
      </c>
      <c r="B4" s="18" t="s">
        <v>15</v>
      </c>
      <c r="C4" s="163"/>
      <c r="I4" s="268" t="s">
        <v>338</v>
      </c>
      <c r="J4" s="268">
        <v>1</v>
      </c>
      <c r="K4" s="16"/>
      <c r="L4" s="258" t="s">
        <v>354</v>
      </c>
      <c r="M4" s="236">
        <v>1</v>
      </c>
    </row>
    <row r="5" spans="1:13" ht="15.75" customHeight="1" x14ac:dyDescent="0.2">
      <c r="A5" s="19" t="s">
        <v>18</v>
      </c>
      <c r="B5" s="20">
        <v>30</v>
      </c>
      <c r="C5" s="17"/>
      <c r="I5" s="268" t="s">
        <v>339</v>
      </c>
      <c r="J5" s="268">
        <v>2</v>
      </c>
      <c r="K5" s="16"/>
      <c r="L5" s="258" t="s">
        <v>355</v>
      </c>
      <c r="M5" s="236">
        <v>2</v>
      </c>
    </row>
    <row r="6" spans="1:13" ht="15.75" customHeight="1" x14ac:dyDescent="0.2">
      <c r="A6" s="19" t="s">
        <v>19</v>
      </c>
      <c r="B6" s="20">
        <v>120</v>
      </c>
      <c r="C6" s="17"/>
      <c r="I6" s="268" t="s">
        <v>340</v>
      </c>
      <c r="J6" s="268">
        <v>3</v>
      </c>
      <c r="K6" s="16"/>
      <c r="L6" s="258" t="s">
        <v>356</v>
      </c>
      <c r="M6" s="236">
        <v>2</v>
      </c>
    </row>
    <row r="7" spans="1:13" ht="15.75" customHeight="1" x14ac:dyDescent="0.2">
      <c r="A7" s="18" t="s">
        <v>0</v>
      </c>
      <c r="B7" s="20">
        <f>SUM(B5:B6)</f>
        <v>150</v>
      </c>
      <c r="C7" s="17"/>
      <c r="I7" s="268" t="s">
        <v>341</v>
      </c>
      <c r="J7" s="268">
        <v>6</v>
      </c>
      <c r="K7" s="16"/>
      <c r="L7" s="258" t="s">
        <v>357</v>
      </c>
      <c r="M7" s="236">
        <v>1</v>
      </c>
    </row>
    <row r="8" spans="1:13" ht="12" customHeight="1" x14ac:dyDescent="0.2">
      <c r="A8" s="17"/>
      <c r="B8" s="17"/>
      <c r="C8" s="17"/>
      <c r="I8" s="268" t="s">
        <v>342</v>
      </c>
      <c r="J8" s="268">
        <v>6</v>
      </c>
      <c r="K8" s="16"/>
      <c r="L8" s="241" t="s">
        <v>0</v>
      </c>
      <c r="M8" s="241">
        <v>12</v>
      </c>
    </row>
    <row r="9" spans="1:13" s="11" customFormat="1" ht="45" x14ac:dyDescent="0.2">
      <c r="A9" s="10" t="s">
        <v>20</v>
      </c>
      <c r="B9" s="10" t="s">
        <v>2</v>
      </c>
      <c r="C9" s="10" t="s">
        <v>3</v>
      </c>
      <c r="D9" s="10" t="s">
        <v>18</v>
      </c>
      <c r="E9" s="10" t="s">
        <v>5</v>
      </c>
      <c r="F9" s="10" t="s">
        <v>6</v>
      </c>
      <c r="I9" s="268" t="s">
        <v>343</v>
      </c>
      <c r="J9" s="268">
        <v>1</v>
      </c>
    </row>
    <row r="10" spans="1:13" s="11" customFormat="1" ht="15" x14ac:dyDescent="0.2">
      <c r="A10" s="12">
        <f>(877803*3)*1.5</f>
        <v>3950113.5</v>
      </c>
      <c r="B10" s="12">
        <f>877803</f>
        <v>877803</v>
      </c>
      <c r="C10" s="13">
        <f>A10-B10</f>
        <v>3072310.5</v>
      </c>
      <c r="D10" s="13">
        <f>+B5</f>
        <v>30</v>
      </c>
      <c r="E10" s="13">
        <f>C10*D10</f>
        <v>92169315</v>
      </c>
      <c r="F10" s="14">
        <f>C10*D10*12</f>
        <v>1106031780</v>
      </c>
      <c r="I10" s="268" t="s">
        <v>344</v>
      </c>
      <c r="J10" s="268">
        <v>1</v>
      </c>
    </row>
    <row r="11" spans="1:13" s="11" customFormat="1" x14ac:dyDescent="0.2">
      <c r="A11" s="11" t="s">
        <v>17</v>
      </c>
      <c r="D11" s="15"/>
      <c r="I11" s="268" t="s">
        <v>345</v>
      </c>
      <c r="J11" s="268">
        <v>1</v>
      </c>
    </row>
    <row r="12" spans="1:13" s="11" customFormat="1" x14ac:dyDescent="0.2">
      <c r="D12" s="15"/>
      <c r="I12" s="268" t="s">
        <v>346</v>
      </c>
      <c r="J12" s="268">
        <v>1</v>
      </c>
    </row>
    <row r="13" spans="1:13" s="11" customFormat="1" ht="62.25" customHeight="1" x14ac:dyDescent="0.2">
      <c r="A13" s="10" t="s">
        <v>1</v>
      </c>
      <c r="B13" s="10" t="s">
        <v>2</v>
      </c>
      <c r="C13" s="10" t="s">
        <v>3</v>
      </c>
      <c r="D13" s="10" t="s">
        <v>4</v>
      </c>
      <c r="E13" s="10" t="s">
        <v>5</v>
      </c>
      <c r="F13" s="10" t="s">
        <v>6</v>
      </c>
      <c r="I13" s="268" t="s">
        <v>347</v>
      </c>
      <c r="J13" s="268">
        <v>6</v>
      </c>
    </row>
    <row r="14" spans="1:13" s="11" customFormat="1" ht="15" x14ac:dyDescent="0.2">
      <c r="A14" s="12">
        <f>(877803+102854)*1.5</f>
        <v>1470985.5</v>
      </c>
      <c r="B14" s="12">
        <v>877803</v>
      </c>
      <c r="C14" s="13">
        <f>A14-B14</f>
        <v>593182.5</v>
      </c>
      <c r="D14" s="13">
        <f>+B6</f>
        <v>120</v>
      </c>
      <c r="E14" s="14">
        <f>C14*D14</f>
        <v>71181900</v>
      </c>
      <c r="F14" s="21">
        <f>C14*D14*12</f>
        <v>854182800</v>
      </c>
      <c r="I14" s="268" t="s">
        <v>348</v>
      </c>
      <c r="J14" s="268">
        <v>120</v>
      </c>
    </row>
    <row r="15" spans="1:13" s="11" customFormat="1" x14ac:dyDescent="0.2">
      <c r="A15" s="11" t="s">
        <v>17</v>
      </c>
      <c r="D15" s="15"/>
      <c r="I15" s="238" t="s">
        <v>0</v>
      </c>
      <c r="J15" s="238">
        <v>150</v>
      </c>
    </row>
    <row r="16" spans="1:13" s="11" customFormat="1" x14ac:dyDescent="0.2">
      <c r="D16" s="15"/>
    </row>
    <row r="17" spans="1:6" s="11" customFormat="1" ht="30" x14ac:dyDescent="0.25">
      <c r="A17" s="165" t="s">
        <v>188</v>
      </c>
      <c r="B17" s="166">
        <f>+F14+F10</f>
        <v>1960214580</v>
      </c>
    </row>
    <row r="18" spans="1:6" ht="29.25" customHeight="1" x14ac:dyDescent="0.2"/>
    <row r="19" spans="1:6" ht="15" x14ac:dyDescent="0.25">
      <c r="A19" s="218" t="s">
        <v>189</v>
      </c>
    </row>
    <row r="20" spans="1:6" ht="15" x14ac:dyDescent="0.2">
      <c r="A20" s="18" t="s">
        <v>16</v>
      </c>
      <c r="B20" s="18" t="s">
        <v>15</v>
      </c>
    </row>
    <row r="21" spans="1:6" x14ac:dyDescent="0.2">
      <c r="A21" s="19" t="s">
        <v>351</v>
      </c>
      <c r="B21" s="20">
        <v>12</v>
      </c>
    </row>
    <row r="23" spans="1:6" s="11" customFormat="1" ht="62.25" customHeight="1" x14ac:dyDescent="0.2">
      <c r="A23" s="10" t="s">
        <v>350</v>
      </c>
      <c r="B23" s="10" t="s">
        <v>2</v>
      </c>
      <c r="C23" s="10" t="s">
        <v>3</v>
      </c>
      <c r="D23" s="10" t="s">
        <v>4</v>
      </c>
      <c r="E23" s="10" t="s">
        <v>5</v>
      </c>
      <c r="F23" s="233" t="s">
        <v>190</v>
      </c>
    </row>
    <row r="24" spans="1:6" s="11" customFormat="1" ht="15" x14ac:dyDescent="0.2">
      <c r="A24" s="12">
        <f>(877803*2)*1.5</f>
        <v>2633409</v>
      </c>
      <c r="B24" s="12">
        <v>877803</v>
      </c>
      <c r="C24" s="13">
        <f>A24-B24</f>
        <v>1755606</v>
      </c>
      <c r="D24" s="13">
        <v>10</v>
      </c>
      <c r="E24" s="14">
        <f>C24*D24</f>
        <v>17556060</v>
      </c>
      <c r="F24" s="14">
        <f>C24*D24*12</f>
        <v>210672720</v>
      </c>
    </row>
    <row r="25" spans="1:6" s="11" customFormat="1" x14ac:dyDescent="0.2">
      <c r="A25" s="11" t="s">
        <v>17</v>
      </c>
      <c r="D25" s="15"/>
    </row>
    <row r="27" spans="1:6" ht="45" x14ac:dyDescent="0.2">
      <c r="A27" s="10" t="s">
        <v>1</v>
      </c>
      <c r="B27" s="10" t="s">
        <v>2</v>
      </c>
      <c r="C27" s="10" t="s">
        <v>3</v>
      </c>
      <c r="D27" s="10" t="s">
        <v>4</v>
      </c>
      <c r="E27" s="10" t="s">
        <v>5</v>
      </c>
      <c r="F27" s="10" t="s">
        <v>6</v>
      </c>
    </row>
    <row r="28" spans="1:6" ht="15" x14ac:dyDescent="0.2">
      <c r="A28" s="12">
        <f>(877803+102854)*1.5</f>
        <v>1470985.5</v>
      </c>
      <c r="B28" s="12">
        <v>877803</v>
      </c>
      <c r="C28" s="13">
        <f>A28-B28</f>
        <v>593182.5</v>
      </c>
      <c r="D28" s="13">
        <v>2</v>
      </c>
      <c r="E28" s="14">
        <f>C28*D28</f>
        <v>1186365</v>
      </c>
      <c r="F28" s="21">
        <f>C28*D28*12</f>
        <v>14236380</v>
      </c>
    </row>
    <row r="30" spans="1:6" ht="30" x14ac:dyDescent="0.25">
      <c r="A30" s="165" t="s">
        <v>190</v>
      </c>
      <c r="B30" s="166">
        <f>+F24+F28</f>
        <v>224909100</v>
      </c>
    </row>
    <row r="32" spans="1:6" x14ac:dyDescent="0.2">
      <c r="A32" s="228" t="s">
        <v>291</v>
      </c>
    </row>
    <row r="34" spans="1:12" s="45" customFormat="1" ht="15" x14ac:dyDescent="0.25">
      <c r="A34" s="97" t="s">
        <v>289</v>
      </c>
      <c r="B34" s="97" t="s">
        <v>31</v>
      </c>
      <c r="C34" s="44"/>
      <c r="D34" s="231"/>
      <c r="E34" s="231"/>
      <c r="F34" s="50"/>
      <c r="G34" s="50"/>
      <c r="H34" s="50"/>
      <c r="I34" s="406"/>
      <c r="J34" s="406"/>
      <c r="K34" s="406"/>
      <c r="L34" s="406"/>
    </row>
    <row r="35" spans="1:12" s="45" customFormat="1" ht="42" customHeight="1" x14ac:dyDescent="0.25">
      <c r="A35" s="46" t="s">
        <v>66</v>
      </c>
      <c r="B35" s="46">
        <v>1.4</v>
      </c>
      <c r="C35" s="44"/>
      <c r="D35" s="44"/>
      <c r="E35" s="44"/>
      <c r="F35" s="50"/>
      <c r="G35" s="219"/>
      <c r="H35" s="219"/>
      <c r="I35" s="219"/>
      <c r="J35" s="219"/>
      <c r="K35" s="219"/>
      <c r="L35" s="219"/>
    </row>
    <row r="36" spans="1:12" s="45" customFormat="1" ht="33" customHeight="1" x14ac:dyDescent="0.25">
      <c r="A36" s="46" t="s">
        <v>360</v>
      </c>
      <c r="B36" s="12">
        <v>10</v>
      </c>
      <c r="C36" s="44"/>
      <c r="D36" s="44"/>
      <c r="E36" s="232"/>
      <c r="F36" s="49"/>
      <c r="G36" s="49"/>
      <c r="H36" s="49"/>
      <c r="I36" s="49"/>
      <c r="J36" s="49"/>
      <c r="K36" s="49"/>
      <c r="L36" s="49"/>
    </row>
    <row r="37" spans="1:12" s="45" customFormat="1" ht="33" customHeight="1" x14ac:dyDescent="0.25">
      <c r="A37" s="46" t="s">
        <v>290</v>
      </c>
      <c r="B37" s="12">
        <v>2</v>
      </c>
      <c r="C37" s="44"/>
      <c r="D37" s="44"/>
      <c r="E37" s="232"/>
      <c r="F37" s="49"/>
      <c r="G37" s="49"/>
      <c r="H37" s="49"/>
      <c r="I37" s="49"/>
      <c r="J37" s="49"/>
      <c r="K37" s="49"/>
      <c r="L37" s="49"/>
    </row>
    <row r="38" spans="1:12" s="45" customFormat="1" ht="36" customHeight="1" x14ac:dyDescent="0.25">
      <c r="A38" s="220" t="s">
        <v>67</v>
      </c>
      <c r="B38" s="47">
        <f>B36*B35</f>
        <v>14</v>
      </c>
      <c r="D38" s="229"/>
      <c r="E38" s="230"/>
    </row>
    <row r="39" spans="1:12" s="45" customFormat="1" ht="36" customHeight="1" x14ac:dyDescent="0.25">
      <c r="A39" s="220" t="s">
        <v>67</v>
      </c>
      <c r="B39" s="47">
        <f>+B37*B35</f>
        <v>2.8</v>
      </c>
      <c r="D39" s="229"/>
      <c r="E39" s="230"/>
    </row>
    <row r="40" spans="1:12" s="45" customFormat="1" ht="36" customHeight="1" x14ac:dyDescent="0.2">
      <c r="A40" s="220" t="s">
        <v>361</v>
      </c>
      <c r="B40" s="270">
        <f>+B38+B39</f>
        <v>16.8</v>
      </c>
      <c r="C40" s="44"/>
    </row>
    <row r="41" spans="1:12" s="45" customFormat="1" ht="23.25" customHeight="1" x14ac:dyDescent="0.2">
      <c r="A41" s="269"/>
      <c r="B41" s="270"/>
      <c r="C41" s="44"/>
    </row>
    <row r="42" spans="1:12" s="11" customFormat="1" ht="62.25" customHeight="1" x14ac:dyDescent="0.2">
      <c r="A42" s="10" t="s">
        <v>350</v>
      </c>
      <c r="B42" s="10" t="s">
        <v>2</v>
      </c>
      <c r="C42" s="10" t="s">
        <v>3</v>
      </c>
      <c r="D42" s="10" t="s">
        <v>4</v>
      </c>
      <c r="E42" s="10" t="s">
        <v>5</v>
      </c>
      <c r="F42" s="233" t="s">
        <v>292</v>
      </c>
    </row>
    <row r="43" spans="1:12" s="11" customFormat="1" ht="15" x14ac:dyDescent="0.2">
      <c r="A43" s="12">
        <f>(877803*2)*1.5</f>
        <v>2633409</v>
      </c>
      <c r="B43" s="12">
        <v>877803</v>
      </c>
      <c r="C43" s="13">
        <f>A43-B43</f>
        <v>1755606</v>
      </c>
      <c r="D43" s="13">
        <f>+B38</f>
        <v>14</v>
      </c>
      <c r="E43" s="13">
        <f>C43*D43</f>
        <v>24578484</v>
      </c>
      <c r="F43" s="14">
        <f>C43*D43*12</f>
        <v>294941808</v>
      </c>
    </row>
    <row r="44" spans="1:12" s="11" customFormat="1" x14ac:dyDescent="0.2">
      <c r="A44" s="11" t="s">
        <v>17</v>
      </c>
      <c r="D44" s="15"/>
    </row>
    <row r="46" spans="1:12" ht="45" x14ac:dyDescent="0.2">
      <c r="A46" s="10" t="s">
        <v>1</v>
      </c>
      <c r="B46" s="10" t="s">
        <v>2</v>
      </c>
      <c r="C46" s="10" t="s">
        <v>3</v>
      </c>
      <c r="D46" s="10" t="s">
        <v>4</v>
      </c>
      <c r="E46" s="10" t="s">
        <v>5</v>
      </c>
      <c r="F46" s="10" t="s">
        <v>6</v>
      </c>
    </row>
    <row r="47" spans="1:12" ht="15" x14ac:dyDescent="0.2">
      <c r="A47" s="12">
        <f>(877803+102854)*1.5</f>
        <v>1470985.5</v>
      </c>
      <c r="B47" s="12">
        <v>877803</v>
      </c>
      <c r="C47" s="13">
        <f>A47-B47</f>
        <v>593182.5</v>
      </c>
      <c r="D47" s="13">
        <f>+B39</f>
        <v>2.8</v>
      </c>
      <c r="E47" s="13">
        <f>C47*D47</f>
        <v>1660911</v>
      </c>
      <c r="F47" s="21">
        <f>C47*D47*12</f>
        <v>19930932</v>
      </c>
    </row>
    <row r="48" spans="1:12" ht="15" x14ac:dyDescent="0.2">
      <c r="A48" s="12"/>
      <c r="B48" s="12"/>
      <c r="C48" s="271"/>
      <c r="D48" s="271"/>
      <c r="E48" s="272"/>
      <c r="F48" s="273"/>
    </row>
    <row r="49" spans="1:6" ht="30" x14ac:dyDescent="0.2">
      <c r="A49" s="165" t="s">
        <v>293</v>
      </c>
      <c r="B49" s="234">
        <f>+F24+F28+F43+F47</f>
        <v>539781840</v>
      </c>
    </row>
    <row r="51" spans="1:6" x14ac:dyDescent="0.2">
      <c r="F51" s="275"/>
    </row>
    <row r="54" spans="1:6" x14ac:dyDescent="0.2">
      <c r="B54" s="275"/>
      <c r="F54" s="275"/>
    </row>
    <row r="55" spans="1:6" x14ac:dyDescent="0.2">
      <c r="B55" s="275"/>
    </row>
  </sheetData>
  <mergeCells count="5">
    <mergeCell ref="A1:B1"/>
    <mergeCell ref="I34:J34"/>
    <mergeCell ref="K34:L34"/>
    <mergeCell ref="I1:J1"/>
    <mergeCell ref="L1:M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I13"/>
  <sheetViews>
    <sheetView workbookViewId="0">
      <selection activeCell="D31" sqref="D31"/>
    </sheetView>
  </sheetViews>
  <sheetFormatPr baseColWidth="10" defaultColWidth="11.42578125" defaultRowHeight="12.75" x14ac:dyDescent="0.2"/>
  <cols>
    <col min="1" max="1" width="25.85546875" style="29" customWidth="1"/>
    <col min="2" max="2" width="19.140625" style="29" customWidth="1"/>
    <col min="3" max="3" width="16.7109375" style="29" customWidth="1"/>
    <col min="4" max="4" width="16" style="29" customWidth="1"/>
    <col min="5" max="5" width="33.42578125" style="29" customWidth="1"/>
    <col min="6" max="6" width="12.7109375" style="29" bestFit="1" customWidth="1"/>
    <col min="7" max="7" width="22.42578125" style="29" customWidth="1"/>
    <col min="8" max="9" width="11.5703125" style="29" bestFit="1" customWidth="1"/>
    <col min="10" max="16384" width="11.42578125" style="29"/>
  </cols>
  <sheetData>
    <row r="1" spans="1:9" ht="15.75" x14ac:dyDescent="0.25">
      <c r="A1" s="94" t="s">
        <v>385</v>
      </c>
    </row>
    <row r="3" spans="1:9" ht="13.5" thickBot="1" x14ac:dyDescent="0.25">
      <c r="A3" s="29" t="s">
        <v>305</v>
      </c>
    </row>
    <row r="4" spans="1:9" ht="60.75" customHeight="1" x14ac:dyDescent="0.2">
      <c r="A4" s="92" t="s">
        <v>294</v>
      </c>
      <c r="B4" s="92" t="s">
        <v>295</v>
      </c>
      <c r="C4" s="288" t="s">
        <v>296</v>
      </c>
      <c r="D4" s="290" t="s">
        <v>297</v>
      </c>
      <c r="F4" s="92" t="s">
        <v>298</v>
      </c>
      <c r="G4" s="92" t="s">
        <v>302</v>
      </c>
      <c r="H4" s="92" t="s">
        <v>303</v>
      </c>
      <c r="I4" s="92" t="s">
        <v>304</v>
      </c>
    </row>
    <row r="5" spans="1:9" ht="13.5" thickBot="1" x14ac:dyDescent="0.25">
      <c r="A5" s="235">
        <v>128000000</v>
      </c>
      <c r="B5" s="235">
        <f>+A5*105.29/76.75</f>
        <v>175597654.72312704</v>
      </c>
      <c r="C5" s="289">
        <v>6.5000000000000002E-2</v>
      </c>
      <c r="D5" s="291">
        <f>+B5*C5</f>
        <v>11413847.557003258</v>
      </c>
      <c r="F5" s="236" t="s">
        <v>301</v>
      </c>
      <c r="G5" s="236">
        <v>40.1</v>
      </c>
      <c r="H5" s="236">
        <v>163</v>
      </c>
      <c r="I5" s="240">
        <f>+G5*H5/100000</f>
        <v>6.5363000000000004E-2</v>
      </c>
    </row>
    <row r="6" spans="1:9" x14ac:dyDescent="0.2">
      <c r="A6" s="29" t="s">
        <v>300</v>
      </c>
    </row>
    <row r="8" spans="1:9" x14ac:dyDescent="0.2">
      <c r="A8" s="110" t="s">
        <v>299</v>
      </c>
    </row>
    <row r="13" spans="1:9" x14ac:dyDescent="0.2">
      <c r="F13" s="237"/>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S12"/>
  <sheetViews>
    <sheetView zoomScaleNormal="100" workbookViewId="0">
      <selection activeCell="C4" sqref="C4"/>
    </sheetView>
  </sheetViews>
  <sheetFormatPr baseColWidth="10" defaultColWidth="11.42578125" defaultRowHeight="12.75" x14ac:dyDescent="0.25"/>
  <cols>
    <col min="1" max="1" width="31.85546875" style="30" customWidth="1"/>
    <col min="2" max="2" width="19.5703125" style="30" customWidth="1"/>
    <col min="3" max="3" width="21.140625" style="30" customWidth="1"/>
    <col min="4" max="4" width="17.5703125" style="30" bestFit="1" customWidth="1"/>
    <col min="5" max="5" width="11.42578125" style="30"/>
    <col min="6" max="6" width="16.42578125" style="30" customWidth="1"/>
    <col min="7" max="14" width="10.28515625" style="30" customWidth="1"/>
    <col min="15" max="18" width="13" style="30" customWidth="1"/>
    <col min="19" max="19" width="9.85546875" style="30" customWidth="1"/>
    <col min="20" max="16384" width="11.42578125" style="30"/>
  </cols>
  <sheetData>
    <row r="1" spans="1:19" ht="24.75" customHeight="1" x14ac:dyDescent="0.25">
      <c r="A1" s="408" t="s">
        <v>307</v>
      </c>
      <c r="B1" s="408"/>
      <c r="C1" s="408"/>
      <c r="D1" s="408"/>
    </row>
    <row r="2" spans="1:19" ht="20.25" customHeight="1" thickBot="1" x14ac:dyDescent="0.3">
      <c r="A2" s="247"/>
    </row>
    <row r="3" spans="1:19" ht="48.75" customHeight="1" x14ac:dyDescent="0.25">
      <c r="A3" s="138" t="s">
        <v>308</v>
      </c>
      <c r="B3" s="138" t="s">
        <v>309</v>
      </c>
      <c r="C3" s="252" t="s">
        <v>310</v>
      </c>
      <c r="D3" s="254" t="s">
        <v>362</v>
      </c>
      <c r="F3" s="224" t="s">
        <v>265</v>
      </c>
      <c r="G3" s="246" t="s">
        <v>266</v>
      </c>
      <c r="H3" s="246" t="s">
        <v>267</v>
      </c>
      <c r="I3" s="246" t="s">
        <v>268</v>
      </c>
      <c r="J3" s="246" t="s">
        <v>269</v>
      </c>
      <c r="K3" s="246" t="s">
        <v>270</v>
      </c>
      <c r="L3" s="246" t="s">
        <v>271</v>
      </c>
      <c r="M3" s="246" t="s">
        <v>272</v>
      </c>
      <c r="N3" s="246" t="s">
        <v>273</v>
      </c>
      <c r="O3" s="246" t="s">
        <v>274</v>
      </c>
      <c r="P3" s="246" t="s">
        <v>275</v>
      </c>
      <c r="Q3" s="246" t="s">
        <v>276</v>
      </c>
      <c r="R3" s="246" t="s">
        <v>277</v>
      </c>
      <c r="S3" s="224" t="s">
        <v>278</v>
      </c>
    </row>
    <row r="4" spans="1:19" s="249" customFormat="1" ht="84" customHeight="1" thickBot="1" x14ac:dyDescent="0.3">
      <c r="A4" s="251">
        <f>+S4*1000</f>
        <v>112758.69318271606</v>
      </c>
      <c r="B4" s="248">
        <v>0.40100000000000002</v>
      </c>
      <c r="C4" s="253">
        <f>A4*B4</f>
        <v>45216.235966269145</v>
      </c>
      <c r="D4" s="255">
        <f>C4*B12</f>
        <v>846656836.29872262</v>
      </c>
      <c r="F4" s="225" t="s">
        <v>279</v>
      </c>
      <c r="G4" s="226">
        <v>8.6223209316962688</v>
      </c>
      <c r="H4" s="226">
        <v>8.6027501223083043</v>
      </c>
      <c r="I4" s="226">
        <v>8.5239681193675896</v>
      </c>
      <c r="J4" s="226">
        <v>10.334051096980259</v>
      </c>
      <c r="K4" s="226">
        <v>10.792213540670829</v>
      </c>
      <c r="L4" s="226">
        <v>9.6381453854982198</v>
      </c>
      <c r="M4" s="226">
        <v>8.5891245333679453</v>
      </c>
      <c r="N4" s="226">
        <v>8.5887704069284254</v>
      </c>
      <c r="O4" s="226">
        <v>10.757058096500156</v>
      </c>
      <c r="P4" s="226">
        <v>10.369180484273972</v>
      </c>
      <c r="Q4" s="226">
        <v>9.8570729916456745</v>
      </c>
      <c r="R4" s="226">
        <v>8.0840374734784213</v>
      </c>
      <c r="S4" s="225">
        <f>SUM(G4:R4)</f>
        <v>112.75869318271606</v>
      </c>
    </row>
    <row r="6" spans="1:19" ht="38.25" customHeight="1" x14ac:dyDescent="0.25">
      <c r="A6" s="402" t="s">
        <v>313</v>
      </c>
      <c r="B6" s="402"/>
      <c r="C6" s="402"/>
      <c r="D6" s="402"/>
    </row>
    <row r="7" spans="1:19" x14ac:dyDescent="0.25">
      <c r="A7" s="250"/>
    </row>
    <row r="9" spans="1:19" x14ac:dyDescent="0.25">
      <c r="A9" s="241" t="s">
        <v>30</v>
      </c>
      <c r="B9" s="241" t="s">
        <v>31</v>
      </c>
      <c r="C9" s="241" t="s">
        <v>32</v>
      </c>
    </row>
    <row r="10" spans="1:19" ht="51" x14ac:dyDescent="0.25">
      <c r="A10" s="242" t="s">
        <v>33</v>
      </c>
      <c r="B10" s="243">
        <v>5</v>
      </c>
      <c r="C10" s="242" t="s">
        <v>34</v>
      </c>
    </row>
    <row r="11" spans="1:19" ht="51" x14ac:dyDescent="0.25">
      <c r="A11" s="236" t="s">
        <v>35</v>
      </c>
      <c r="B11" s="244">
        <v>3744.9240000000004</v>
      </c>
      <c r="C11" s="242" t="s">
        <v>312</v>
      </c>
    </row>
    <row r="12" spans="1:19" ht="38.25" x14ac:dyDescent="0.25">
      <c r="A12" s="242" t="s">
        <v>36</v>
      </c>
      <c r="B12" s="245">
        <f>B10*B11</f>
        <v>18724.620000000003</v>
      </c>
      <c r="C12" s="236" t="s">
        <v>311</v>
      </c>
    </row>
  </sheetData>
  <mergeCells count="2">
    <mergeCell ref="A6:D6"/>
    <mergeCell ref="A1:D1"/>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249977111117893"/>
  </sheetPr>
  <dimension ref="A1:P30"/>
  <sheetViews>
    <sheetView topLeftCell="C2" workbookViewId="0">
      <selection activeCell="C16" sqref="C16"/>
    </sheetView>
  </sheetViews>
  <sheetFormatPr baseColWidth="10" defaultRowHeight="15" x14ac:dyDescent="0.25"/>
  <cols>
    <col min="1" max="1" width="24.85546875" customWidth="1"/>
    <col min="2" max="2" width="18.5703125" customWidth="1"/>
    <col min="3" max="3" width="17.28515625" customWidth="1"/>
    <col min="4" max="4" width="24.28515625" customWidth="1"/>
    <col min="6" max="6" width="13.85546875" bestFit="1" customWidth="1"/>
    <col min="7" max="7" width="16.7109375" customWidth="1"/>
    <col min="11" max="11" width="14.5703125" customWidth="1"/>
    <col min="12" max="13" width="13.7109375" customWidth="1"/>
    <col min="16" max="16" width="21.42578125" customWidth="1"/>
  </cols>
  <sheetData>
    <row r="1" spans="1:16" s="29" customFormat="1" ht="15.75" x14ac:dyDescent="0.25">
      <c r="A1" s="94" t="s">
        <v>458</v>
      </c>
    </row>
    <row r="3" spans="1:16" s="373" customFormat="1" x14ac:dyDescent="0.25">
      <c r="A3" s="373" t="s">
        <v>447</v>
      </c>
    </row>
    <row r="4" spans="1:16" x14ac:dyDescent="0.25">
      <c r="A4" s="365" t="s">
        <v>457</v>
      </c>
      <c r="B4" s="365">
        <v>10.38</v>
      </c>
      <c r="F4" s="365" t="s">
        <v>440</v>
      </c>
    </row>
    <row r="5" spans="1:16" ht="36" customHeight="1" x14ac:dyDescent="0.25">
      <c r="A5" s="362" t="s">
        <v>438</v>
      </c>
      <c r="B5" s="362"/>
      <c r="C5" s="359"/>
      <c r="F5" s="368" t="s">
        <v>439</v>
      </c>
      <c r="G5" s="368" t="s">
        <v>10</v>
      </c>
      <c r="H5" s="409" t="s">
        <v>432</v>
      </c>
      <c r="I5" s="409"/>
      <c r="J5" s="409" t="s">
        <v>433</v>
      </c>
      <c r="K5" s="409"/>
      <c r="L5" s="409" t="s">
        <v>434</v>
      </c>
      <c r="M5" s="409"/>
      <c r="N5" s="409" t="s">
        <v>435</v>
      </c>
      <c r="O5" s="409"/>
      <c r="P5" s="363" t="s">
        <v>443</v>
      </c>
    </row>
    <row r="6" spans="1:16" ht="36" customHeight="1" x14ac:dyDescent="0.25">
      <c r="A6" s="362"/>
      <c r="B6" s="362"/>
      <c r="C6" s="389"/>
      <c r="F6" s="364"/>
      <c r="G6" s="364"/>
      <c r="H6" s="367" t="s">
        <v>442</v>
      </c>
      <c r="I6" s="367" t="s">
        <v>31</v>
      </c>
      <c r="J6" s="367" t="s">
        <v>442</v>
      </c>
      <c r="K6" s="367" t="s">
        <v>31</v>
      </c>
      <c r="L6" s="367" t="s">
        <v>442</v>
      </c>
      <c r="M6" s="367" t="s">
        <v>31</v>
      </c>
      <c r="N6" s="367" t="s">
        <v>442</v>
      </c>
      <c r="O6" s="367" t="s">
        <v>31</v>
      </c>
      <c r="P6" s="363"/>
    </row>
    <row r="7" spans="1:16" ht="24" x14ac:dyDescent="0.25">
      <c r="A7" s="376" t="s">
        <v>423</v>
      </c>
      <c r="B7" s="376" t="s">
        <v>424</v>
      </c>
      <c r="C7" s="394" t="s">
        <v>425</v>
      </c>
      <c r="D7" s="396" t="s">
        <v>441</v>
      </c>
      <c r="F7" s="369" t="s">
        <v>436</v>
      </c>
      <c r="G7" s="369">
        <v>1</v>
      </c>
      <c r="H7" s="364"/>
      <c r="I7" s="364"/>
      <c r="J7" s="364"/>
      <c r="K7" s="364"/>
      <c r="L7" s="364"/>
      <c r="M7" s="364"/>
      <c r="N7" s="364"/>
      <c r="O7" s="364"/>
      <c r="P7" s="364"/>
    </row>
    <row r="8" spans="1:16" x14ac:dyDescent="0.25">
      <c r="A8" s="377" t="s">
        <v>426</v>
      </c>
      <c r="B8" s="391">
        <v>152800026</v>
      </c>
      <c r="C8" s="395">
        <f>+B8/$B$4</f>
        <v>14720619.075144507</v>
      </c>
      <c r="D8" s="397">
        <f>+C8*$B$4</f>
        <v>152800026</v>
      </c>
      <c r="F8" s="369" t="s">
        <v>436</v>
      </c>
      <c r="G8" s="369">
        <v>2</v>
      </c>
      <c r="H8" s="366">
        <v>1</v>
      </c>
      <c r="I8" s="370">
        <f>+$D$11</f>
        <v>146676156</v>
      </c>
      <c r="J8" s="366">
        <v>4</v>
      </c>
      <c r="K8" s="370">
        <f t="shared" ref="K8:K18" si="0">+$D$9*J8</f>
        <v>653937024</v>
      </c>
      <c r="L8" s="366">
        <v>1</v>
      </c>
      <c r="M8" s="370">
        <f>+$D$8</f>
        <v>152800026</v>
      </c>
      <c r="N8" s="367"/>
      <c r="O8" s="366"/>
      <c r="P8" s="361">
        <f t="shared" ref="P8:P18" si="1">+I8+K8+M8+O8</f>
        <v>953413206</v>
      </c>
    </row>
    <row r="9" spans="1:16" ht="18" customHeight="1" x14ac:dyDescent="0.25">
      <c r="A9" s="377" t="s">
        <v>427</v>
      </c>
      <c r="B9" s="391">
        <v>163484256</v>
      </c>
      <c r="C9" s="395">
        <f t="shared" ref="C9:C11" si="2">+B9/$B$4</f>
        <v>15749928.32369942</v>
      </c>
      <c r="D9" s="397">
        <f>+C9*$B$4</f>
        <v>163484256</v>
      </c>
      <c r="F9" s="369" t="s">
        <v>437</v>
      </c>
      <c r="G9" s="369">
        <v>3</v>
      </c>
      <c r="H9" s="366">
        <v>1</v>
      </c>
      <c r="I9" s="370">
        <f>+$D$11</f>
        <v>146676156</v>
      </c>
      <c r="J9" s="366">
        <v>3</v>
      </c>
      <c r="K9" s="370">
        <f t="shared" si="0"/>
        <v>490452768</v>
      </c>
      <c r="L9" s="366"/>
      <c r="M9" s="366"/>
      <c r="N9" s="367"/>
      <c r="O9" s="366"/>
      <c r="P9" s="361">
        <f t="shared" si="1"/>
        <v>637128924</v>
      </c>
    </row>
    <row r="10" spans="1:16" x14ac:dyDescent="0.25">
      <c r="A10" s="377" t="s">
        <v>428</v>
      </c>
      <c r="B10" s="391">
        <v>60000000</v>
      </c>
      <c r="C10" s="395">
        <f t="shared" si="2"/>
        <v>5780346.8208092479</v>
      </c>
      <c r="D10" s="397">
        <f>+C10*$B$4</f>
        <v>60000000</v>
      </c>
      <c r="F10" s="369" t="s">
        <v>437</v>
      </c>
      <c r="G10" s="369">
        <v>4</v>
      </c>
      <c r="H10" s="366">
        <v>1</v>
      </c>
      <c r="I10" s="370">
        <f>+$D$11</f>
        <v>146676156</v>
      </c>
      <c r="J10" s="366">
        <v>2</v>
      </c>
      <c r="K10" s="370">
        <f t="shared" si="0"/>
        <v>326968512</v>
      </c>
      <c r="L10" s="366"/>
      <c r="M10" s="366"/>
      <c r="N10" s="366">
        <v>1</v>
      </c>
      <c r="O10" s="370">
        <f>+$D$11</f>
        <v>146676156</v>
      </c>
      <c r="P10" s="361">
        <f t="shared" si="1"/>
        <v>620320824</v>
      </c>
    </row>
    <row r="11" spans="1:16" x14ac:dyDescent="0.25">
      <c r="A11" s="377" t="s">
        <v>429</v>
      </c>
      <c r="B11" s="391">
        <v>146676156</v>
      </c>
      <c r="C11" s="395">
        <f t="shared" si="2"/>
        <v>14130650.867052022</v>
      </c>
      <c r="D11" s="397">
        <f>+C11*$B$4</f>
        <v>146676156</v>
      </c>
      <c r="F11" s="369" t="s">
        <v>437</v>
      </c>
      <c r="G11" s="369">
        <v>5</v>
      </c>
      <c r="H11" s="366">
        <v>1</v>
      </c>
      <c r="I11" s="370">
        <f>+$D$11</f>
        <v>146676156</v>
      </c>
      <c r="J11" s="366">
        <v>2</v>
      </c>
      <c r="K11" s="370">
        <f t="shared" si="0"/>
        <v>326968512</v>
      </c>
      <c r="L11" s="366"/>
      <c r="M11" s="366"/>
      <c r="N11" s="367"/>
      <c r="O11" s="370"/>
      <c r="P11" s="361">
        <f t="shared" si="1"/>
        <v>473644668</v>
      </c>
    </row>
    <row r="12" spans="1:16" x14ac:dyDescent="0.25">
      <c r="A12" s="377" t="s">
        <v>430</v>
      </c>
      <c r="B12" s="391">
        <v>15885023</v>
      </c>
      <c r="C12" s="395"/>
      <c r="D12" s="397"/>
      <c r="F12" s="369" t="s">
        <v>437</v>
      </c>
      <c r="G12" s="369">
        <v>6</v>
      </c>
      <c r="H12" s="366">
        <v>1</v>
      </c>
      <c r="I12" s="370">
        <f>+$D$11</f>
        <v>146676156</v>
      </c>
      <c r="J12" s="366">
        <v>1</v>
      </c>
      <c r="K12" s="370">
        <f t="shared" si="0"/>
        <v>163484256</v>
      </c>
      <c r="L12" s="366"/>
      <c r="M12" s="366"/>
      <c r="N12" s="366">
        <v>1</v>
      </c>
      <c r="O12" s="370">
        <f>+$D$11</f>
        <v>146676156</v>
      </c>
      <c r="P12" s="361">
        <f t="shared" si="1"/>
        <v>456836568</v>
      </c>
    </row>
    <row r="13" spans="1:16" x14ac:dyDescent="0.25">
      <c r="A13" s="378" t="s">
        <v>431</v>
      </c>
      <c r="B13" s="391">
        <f>SUM(B8:B12)</f>
        <v>538845461</v>
      </c>
      <c r="C13" s="395">
        <f>SUM(C8:C12)</f>
        <v>50381545.086705193</v>
      </c>
      <c r="D13" s="398"/>
      <c r="F13" s="369" t="s">
        <v>437</v>
      </c>
      <c r="G13" s="369">
        <v>7</v>
      </c>
      <c r="H13" s="367"/>
      <c r="I13" s="367"/>
      <c r="J13" s="366">
        <v>1</v>
      </c>
      <c r="K13" s="370">
        <f t="shared" si="0"/>
        <v>163484256</v>
      </c>
      <c r="L13" s="366"/>
      <c r="M13" s="366"/>
      <c r="N13" s="367"/>
      <c r="O13" s="370"/>
      <c r="P13" s="361">
        <f t="shared" si="1"/>
        <v>163484256</v>
      </c>
    </row>
    <row r="14" spans="1:16" x14ac:dyDescent="0.25">
      <c r="B14" s="392"/>
      <c r="C14" s="392"/>
      <c r="D14" s="392"/>
      <c r="F14" s="369" t="s">
        <v>437</v>
      </c>
      <c r="G14" s="369">
        <v>8</v>
      </c>
      <c r="H14" s="367"/>
      <c r="I14" s="367"/>
      <c r="J14" s="366">
        <v>1</v>
      </c>
      <c r="K14" s="370">
        <f t="shared" si="0"/>
        <v>163484256</v>
      </c>
      <c r="L14" s="366"/>
      <c r="M14" s="366"/>
      <c r="N14" s="366">
        <v>1</v>
      </c>
      <c r="O14" s="370">
        <f>+$D$11</f>
        <v>146676156</v>
      </c>
      <c r="P14" s="361">
        <f t="shared" si="1"/>
        <v>310160412</v>
      </c>
    </row>
    <row r="15" spans="1:16" ht="48" x14ac:dyDescent="0.25">
      <c r="A15" s="390" t="s">
        <v>459</v>
      </c>
      <c r="B15" s="393">
        <f>B4*40000000</f>
        <v>415200000.00000006</v>
      </c>
      <c r="C15" s="392"/>
      <c r="D15" s="392"/>
      <c r="F15" s="369" t="s">
        <v>437</v>
      </c>
      <c r="G15" s="369">
        <v>9</v>
      </c>
      <c r="H15" s="367"/>
      <c r="I15" s="367"/>
      <c r="J15" s="366">
        <v>1</v>
      </c>
      <c r="K15" s="370">
        <f t="shared" si="0"/>
        <v>163484256</v>
      </c>
      <c r="L15" s="366"/>
      <c r="M15" s="366"/>
      <c r="N15" s="367"/>
      <c r="O15" s="370"/>
      <c r="P15" s="361">
        <f t="shared" si="1"/>
        <v>163484256</v>
      </c>
    </row>
    <row r="16" spans="1:16" x14ac:dyDescent="0.25">
      <c r="F16" s="369" t="s">
        <v>437</v>
      </c>
      <c r="G16" s="369">
        <v>10</v>
      </c>
      <c r="H16" s="367"/>
      <c r="I16" s="367"/>
      <c r="J16" s="366">
        <v>1</v>
      </c>
      <c r="K16" s="370">
        <f t="shared" si="0"/>
        <v>163484256</v>
      </c>
      <c r="L16" s="366"/>
      <c r="M16" s="366"/>
      <c r="N16" s="366">
        <v>1</v>
      </c>
      <c r="O16" s="370">
        <f>+$D$11</f>
        <v>146676156</v>
      </c>
      <c r="P16" s="361">
        <f t="shared" si="1"/>
        <v>310160412</v>
      </c>
    </row>
    <row r="17" spans="1:16" x14ac:dyDescent="0.25">
      <c r="F17" s="369" t="s">
        <v>437</v>
      </c>
      <c r="G17" s="369">
        <v>11</v>
      </c>
      <c r="H17" s="367"/>
      <c r="I17" s="367"/>
      <c r="J17" s="366">
        <v>1</v>
      </c>
      <c r="K17" s="370">
        <f t="shared" si="0"/>
        <v>163484256</v>
      </c>
      <c r="L17" s="366"/>
      <c r="M17" s="366"/>
      <c r="N17" s="367"/>
      <c r="O17" s="370"/>
      <c r="P17" s="361">
        <f t="shared" si="1"/>
        <v>163484256</v>
      </c>
    </row>
    <row r="18" spans="1:16" x14ac:dyDescent="0.25">
      <c r="F18" s="369" t="s">
        <v>437</v>
      </c>
      <c r="G18" s="369">
        <v>12</v>
      </c>
      <c r="H18" s="367"/>
      <c r="I18" s="367"/>
      <c r="J18" s="366">
        <v>1</v>
      </c>
      <c r="K18" s="370">
        <f t="shared" si="0"/>
        <v>163484256</v>
      </c>
      <c r="L18" s="366"/>
      <c r="M18" s="366"/>
      <c r="N18" s="366">
        <v>1</v>
      </c>
      <c r="O18" s="370">
        <f>+$D$11</f>
        <v>146676156</v>
      </c>
      <c r="P18" s="361">
        <f t="shared" si="1"/>
        <v>310160412</v>
      </c>
    </row>
    <row r="19" spans="1:16" x14ac:dyDescent="0.25">
      <c r="F19" s="369" t="s">
        <v>437</v>
      </c>
      <c r="G19" s="369">
        <v>13</v>
      </c>
      <c r="H19" s="367"/>
      <c r="I19" s="367"/>
      <c r="J19" s="367"/>
      <c r="K19" s="370"/>
      <c r="L19" s="367"/>
      <c r="M19" s="367"/>
      <c r="N19" s="367"/>
      <c r="O19" s="370"/>
      <c r="P19" s="361"/>
    </row>
    <row r="20" spans="1:16" x14ac:dyDescent="0.25">
      <c r="F20" s="369" t="s">
        <v>437</v>
      </c>
      <c r="G20" s="369">
        <v>14</v>
      </c>
      <c r="H20" s="367"/>
      <c r="I20" s="367"/>
      <c r="J20" s="366">
        <v>1</v>
      </c>
      <c r="K20" s="370">
        <f>+$D$9*J20</f>
        <v>163484256</v>
      </c>
      <c r="L20" s="366"/>
      <c r="M20" s="366"/>
      <c r="N20" s="366">
        <v>1</v>
      </c>
      <c r="O20" s="370">
        <f>+$D$11</f>
        <v>146676156</v>
      </c>
      <c r="P20" s="361">
        <f>+I20+K20+M20+O20</f>
        <v>310160412</v>
      </c>
    </row>
    <row r="21" spans="1:16" x14ac:dyDescent="0.25">
      <c r="F21" s="369" t="s">
        <v>437</v>
      </c>
      <c r="G21" s="369">
        <v>15</v>
      </c>
      <c r="H21" s="367"/>
      <c r="I21" s="367"/>
      <c r="J21" s="367"/>
      <c r="K21" s="370"/>
      <c r="L21" s="367"/>
      <c r="M21" s="367"/>
      <c r="N21" s="367"/>
      <c r="O21" s="370"/>
      <c r="P21" s="361"/>
    </row>
    <row r="22" spans="1:16" x14ac:dyDescent="0.25">
      <c r="F22" s="369" t="s">
        <v>437</v>
      </c>
      <c r="G22" s="369">
        <v>16</v>
      </c>
      <c r="H22" s="367"/>
      <c r="I22" s="367"/>
      <c r="J22" s="366">
        <v>1</v>
      </c>
      <c r="K22" s="370">
        <f>+$D$9*J22</f>
        <v>163484256</v>
      </c>
      <c r="L22" s="366"/>
      <c r="M22" s="366"/>
      <c r="N22" s="366">
        <v>1</v>
      </c>
      <c r="O22" s="370">
        <f>+$D$11</f>
        <v>146676156</v>
      </c>
      <c r="P22" s="361">
        <f>+I22+K22+M22+O22</f>
        <v>310160412</v>
      </c>
    </row>
    <row r="23" spans="1:16" x14ac:dyDescent="0.25">
      <c r="P23" s="360">
        <f>SUM(P8:P22)</f>
        <v>5182599018</v>
      </c>
    </row>
    <row r="24" spans="1:16" s="29" customFormat="1" ht="20.25" customHeight="1" x14ac:dyDescent="0.2">
      <c r="A24" s="26"/>
      <c r="D24" s="30"/>
      <c r="E24" s="30"/>
    </row>
    <row r="25" spans="1:16" s="374" customFormat="1" ht="12.75" x14ac:dyDescent="0.2">
      <c r="A25" s="374" t="s">
        <v>448</v>
      </c>
      <c r="D25" s="375"/>
      <c r="E25" s="375"/>
    </row>
    <row r="27" spans="1:16" s="30" customFormat="1" ht="102" x14ac:dyDescent="0.25">
      <c r="A27" s="241" t="s">
        <v>446</v>
      </c>
      <c r="B27" s="241" t="s">
        <v>450</v>
      </c>
      <c r="C27" s="241" t="s">
        <v>445</v>
      </c>
      <c r="D27" s="241" t="s">
        <v>25</v>
      </c>
      <c r="E27" s="241" t="s">
        <v>26</v>
      </c>
      <c r="F27" s="241" t="s">
        <v>27</v>
      </c>
      <c r="G27" s="241" t="s">
        <v>28</v>
      </c>
      <c r="H27" s="241" t="s">
        <v>29</v>
      </c>
      <c r="J27" s="241" t="s">
        <v>30</v>
      </c>
      <c r="K27" s="241" t="s">
        <v>31</v>
      </c>
      <c r="L27" s="241" t="s">
        <v>32</v>
      </c>
    </row>
    <row r="28" spans="1:16" s="30" customFormat="1" ht="76.5" x14ac:dyDescent="0.25">
      <c r="A28" s="244">
        <f>+B4</f>
        <v>10.38</v>
      </c>
      <c r="B28" s="371">
        <v>189.08563535911603</v>
      </c>
      <c r="C28" s="244">
        <f>+A28*B28</f>
        <v>1962.7088950276245</v>
      </c>
      <c r="D28" s="328">
        <f>C28*0.5</f>
        <v>981.35444751381226</v>
      </c>
      <c r="E28" s="328">
        <f>D28*(44/12)</f>
        <v>3598.2996408839781</v>
      </c>
      <c r="F28" s="328">
        <f>E28*$K$28</f>
        <v>17991.498204419891</v>
      </c>
      <c r="G28" s="245">
        <f>+F28*$K$29</f>
        <v>67731873.630251393</v>
      </c>
      <c r="H28" s="339">
        <f>G28/A28</f>
        <v>6525228.6734346235</v>
      </c>
      <c r="J28" s="242" t="s">
        <v>33</v>
      </c>
      <c r="K28" s="333">
        <v>5</v>
      </c>
      <c r="L28" s="242" t="s">
        <v>34</v>
      </c>
    </row>
    <row r="29" spans="1:16" s="372" customFormat="1" ht="76.5" x14ac:dyDescent="0.25">
      <c r="A29" s="410" t="s">
        <v>451</v>
      </c>
      <c r="B29" s="410"/>
      <c r="C29" s="410"/>
      <c r="J29" s="236" t="s">
        <v>35</v>
      </c>
      <c r="K29" s="328">
        <v>3764.66</v>
      </c>
      <c r="L29" s="242" t="s">
        <v>42</v>
      </c>
    </row>
    <row r="30" spans="1:16" s="372" customFormat="1" ht="61.5" customHeight="1" x14ac:dyDescent="0.25">
      <c r="J30" s="242" t="s">
        <v>36</v>
      </c>
      <c r="K30" s="339">
        <f>K28*K29</f>
        <v>18823.3</v>
      </c>
      <c r="L30" s="236"/>
    </row>
  </sheetData>
  <mergeCells count="5">
    <mergeCell ref="N5:O5"/>
    <mergeCell ref="H5:I5"/>
    <mergeCell ref="J5:K5"/>
    <mergeCell ref="L5:M5"/>
    <mergeCell ref="A29:C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O21"/>
  <sheetViews>
    <sheetView zoomScaleNormal="100" workbookViewId="0">
      <selection activeCell="A11" sqref="A11:G11"/>
    </sheetView>
  </sheetViews>
  <sheetFormatPr baseColWidth="10" defaultColWidth="11.42578125" defaultRowHeight="12.75" x14ac:dyDescent="0.25"/>
  <cols>
    <col min="1" max="1" width="6.85546875" style="1" customWidth="1"/>
    <col min="2" max="2" width="22.7109375" style="1" customWidth="1"/>
    <col min="3" max="3" width="14.7109375" style="1" customWidth="1"/>
    <col min="4" max="4" width="15" style="1" customWidth="1"/>
    <col min="5" max="5" width="13.42578125" style="1" customWidth="1"/>
    <col min="6" max="7" width="15.28515625" style="1" customWidth="1"/>
    <col min="8" max="8" width="14.140625" style="2" customWidth="1"/>
    <col min="9" max="9" width="13.42578125" style="1" customWidth="1"/>
    <col min="10" max="10" width="24.85546875" style="1" customWidth="1"/>
    <col min="11" max="12" width="11.42578125" style="1"/>
    <col min="13" max="13" width="11.42578125" style="2"/>
    <col min="14" max="16384" width="11.42578125" style="1"/>
  </cols>
  <sheetData>
    <row r="1" spans="1:15" ht="30" customHeight="1" x14ac:dyDescent="0.25">
      <c r="A1" s="411" t="s">
        <v>138</v>
      </c>
      <c r="B1" s="411"/>
      <c r="C1" s="411"/>
      <c r="D1" s="411"/>
      <c r="E1" s="411"/>
      <c r="F1" s="411"/>
      <c r="G1" s="411"/>
      <c r="H1" s="411"/>
      <c r="I1" s="411"/>
    </row>
    <row r="3" spans="1:15" ht="72" customHeight="1" x14ac:dyDescent="0.25">
      <c r="A3" s="3" t="s">
        <v>7</v>
      </c>
      <c r="B3" s="4" t="s">
        <v>8</v>
      </c>
      <c r="C3" s="4" t="s">
        <v>9</v>
      </c>
      <c r="D3" s="4" t="s">
        <v>10</v>
      </c>
      <c r="E3" s="4" t="s">
        <v>11</v>
      </c>
      <c r="F3" s="8" t="s">
        <v>140</v>
      </c>
      <c r="G3" s="8" t="s">
        <v>141</v>
      </c>
      <c r="H3" s="109"/>
    </row>
    <row r="4" spans="1:15" x14ac:dyDescent="0.25">
      <c r="A4" s="5">
        <v>1</v>
      </c>
      <c r="B4" s="6" t="s">
        <v>142</v>
      </c>
      <c r="C4" s="7" t="s">
        <v>14</v>
      </c>
      <c r="D4" s="6">
        <v>2008</v>
      </c>
      <c r="E4" s="134">
        <v>4949</v>
      </c>
      <c r="F4" s="134">
        <v>4949</v>
      </c>
      <c r="G4" s="134">
        <v>3537</v>
      </c>
      <c r="H4" s="133"/>
    </row>
    <row r="5" spans="1:15" ht="25.5" x14ac:dyDescent="0.25">
      <c r="A5" s="5">
        <v>2</v>
      </c>
      <c r="B5" s="6" t="s">
        <v>143</v>
      </c>
      <c r="C5" s="7" t="s">
        <v>136</v>
      </c>
      <c r="D5" s="6">
        <v>2010</v>
      </c>
      <c r="E5" s="134">
        <v>4148</v>
      </c>
      <c r="F5" s="134">
        <v>4148</v>
      </c>
      <c r="G5" s="134">
        <v>4148</v>
      </c>
      <c r="H5" s="133"/>
      <c r="N5" s="133"/>
      <c r="O5" s="133"/>
    </row>
    <row r="6" spans="1:15" x14ac:dyDescent="0.25">
      <c r="A6" s="5">
        <v>3</v>
      </c>
      <c r="B6" s="6" t="s">
        <v>144</v>
      </c>
      <c r="C6" s="7" t="s">
        <v>13</v>
      </c>
      <c r="D6" s="6">
        <v>2010</v>
      </c>
      <c r="E6" s="134">
        <v>26019</v>
      </c>
      <c r="F6" s="134">
        <v>26019</v>
      </c>
      <c r="G6" s="134">
        <v>36583</v>
      </c>
      <c r="H6" s="133"/>
      <c r="N6" s="133"/>
      <c r="O6" s="133"/>
    </row>
    <row r="7" spans="1:15" x14ac:dyDescent="0.25">
      <c r="A7" s="5">
        <v>4</v>
      </c>
      <c r="B7" s="6" t="s">
        <v>145</v>
      </c>
      <c r="C7" s="7" t="s">
        <v>137</v>
      </c>
      <c r="D7" s="6">
        <v>2011</v>
      </c>
      <c r="E7" s="134">
        <v>20552</v>
      </c>
      <c r="F7" s="134">
        <v>20552</v>
      </c>
      <c r="G7" s="134">
        <v>16552</v>
      </c>
      <c r="H7" s="133"/>
      <c r="N7" s="133"/>
      <c r="O7" s="133"/>
    </row>
    <row r="8" spans="1:15" x14ac:dyDescent="0.25">
      <c r="A8" s="5">
        <v>5</v>
      </c>
      <c r="B8" s="6" t="s">
        <v>146</v>
      </c>
      <c r="C8" s="7" t="s">
        <v>12</v>
      </c>
      <c r="D8" s="6">
        <v>2012</v>
      </c>
      <c r="E8" s="134">
        <v>7852</v>
      </c>
      <c r="F8" s="134">
        <v>7852</v>
      </c>
      <c r="G8" s="134">
        <v>8608</v>
      </c>
      <c r="H8" s="133"/>
      <c r="N8" s="133"/>
      <c r="O8" s="133"/>
    </row>
    <row r="9" spans="1:15" ht="18" customHeight="1" x14ac:dyDescent="0.25">
      <c r="A9" s="415" t="s">
        <v>139</v>
      </c>
      <c r="B9" s="415"/>
      <c r="C9" s="415"/>
      <c r="D9" s="415"/>
      <c r="E9" s="415"/>
      <c r="F9" s="134">
        <f>AVERAGE(F4:F8)</f>
        <v>12704</v>
      </c>
      <c r="G9" s="134">
        <f>AVERAGE(G4:G8)</f>
        <v>13885.6</v>
      </c>
      <c r="N9" s="133"/>
      <c r="O9" s="133"/>
    </row>
    <row r="10" spans="1:15" ht="18" customHeight="1" x14ac:dyDescent="0.25">
      <c r="A10" s="415" t="s">
        <v>154</v>
      </c>
      <c r="B10" s="415"/>
      <c r="C10" s="415"/>
      <c r="D10" s="415"/>
      <c r="E10" s="415"/>
      <c r="F10" s="134">
        <f>+F9*105.29/88.05</f>
        <v>15191.415786484953</v>
      </c>
      <c r="G10" s="134">
        <f>+G9*105.29/88.05</f>
        <v>16604.370516751846</v>
      </c>
      <c r="I10" s="133"/>
      <c r="N10" s="133"/>
      <c r="O10" s="133"/>
    </row>
    <row r="11" spans="1:15" ht="31.5" customHeight="1" x14ac:dyDescent="0.25">
      <c r="A11" s="414" t="s">
        <v>153</v>
      </c>
      <c r="B11" s="414"/>
      <c r="C11" s="414"/>
      <c r="D11" s="414"/>
      <c r="E11" s="414"/>
      <c r="F11" s="414"/>
      <c r="G11" s="414"/>
      <c r="I11" s="133"/>
      <c r="N11" s="133"/>
      <c r="O11" s="133"/>
    </row>
    <row r="12" spans="1:15" ht="18" customHeight="1" x14ac:dyDescent="0.25">
      <c r="A12" s="109"/>
      <c r="B12" s="419"/>
      <c r="C12" s="419"/>
      <c r="D12" s="419"/>
      <c r="E12" s="109"/>
      <c r="F12" s="133"/>
      <c r="G12" s="133"/>
      <c r="I12" s="133"/>
      <c r="N12" s="133"/>
      <c r="O12" s="133"/>
    </row>
    <row r="13" spans="1:15" ht="45.75" customHeight="1" x14ac:dyDescent="0.25">
      <c r="A13" s="109"/>
      <c r="B13" s="138" t="s">
        <v>147</v>
      </c>
      <c r="C13" s="138" t="s">
        <v>151</v>
      </c>
      <c r="D13" s="138" t="s">
        <v>152</v>
      </c>
      <c r="E13" s="109"/>
      <c r="F13" s="133"/>
      <c r="G13" s="133"/>
      <c r="I13" s="133"/>
      <c r="N13" s="133"/>
      <c r="O13" s="133"/>
    </row>
    <row r="14" spans="1:15" x14ac:dyDescent="0.25">
      <c r="A14" s="109"/>
      <c r="B14" s="135" t="s">
        <v>148</v>
      </c>
      <c r="C14" s="136">
        <v>14047</v>
      </c>
      <c r="D14" s="137">
        <f>+C14*105.29/88.05</f>
        <v>16797.372288472459</v>
      </c>
      <c r="E14" s="109"/>
      <c r="F14" s="133"/>
      <c r="G14" s="133"/>
      <c r="I14" s="133"/>
      <c r="N14" s="133"/>
      <c r="O14" s="133"/>
    </row>
    <row r="15" spans="1:15" x14ac:dyDescent="0.25">
      <c r="A15" s="109"/>
      <c r="B15" s="135" t="s">
        <v>149</v>
      </c>
      <c r="C15" s="136">
        <v>10538</v>
      </c>
      <c r="D15" s="137">
        <f>+C15*105.29/88.05</f>
        <v>12601.317660420216</v>
      </c>
      <c r="E15" s="109"/>
      <c r="F15" s="133"/>
      <c r="G15" s="412"/>
      <c r="H15" s="412"/>
      <c r="I15" s="412"/>
      <c r="J15" s="412"/>
      <c r="N15" s="133"/>
      <c r="O15" s="133"/>
    </row>
    <row r="16" spans="1:15" x14ac:dyDescent="0.25">
      <c r="A16" s="109"/>
      <c r="B16" s="135" t="s">
        <v>150</v>
      </c>
      <c r="C16" s="136">
        <v>10511</v>
      </c>
      <c r="D16" s="137">
        <f>+C16*105.29/88.05</f>
        <v>12569.031118682569</v>
      </c>
      <c r="E16" s="109"/>
      <c r="F16" s="133"/>
      <c r="G16" s="133"/>
      <c r="I16" s="133"/>
      <c r="N16" s="133"/>
      <c r="O16" s="133"/>
    </row>
    <row r="17" spans="1:15" ht="33" customHeight="1" x14ac:dyDescent="0.25">
      <c r="A17" s="109"/>
      <c r="B17" s="413" t="s">
        <v>153</v>
      </c>
      <c r="C17" s="413"/>
      <c r="D17" s="413"/>
      <c r="E17" s="109"/>
      <c r="F17" s="133"/>
      <c r="G17" s="133"/>
      <c r="I17" s="133"/>
      <c r="N17" s="133"/>
      <c r="O17" s="133"/>
    </row>
    <row r="18" spans="1:15" ht="18" customHeight="1" x14ac:dyDescent="0.25">
      <c r="A18" s="109"/>
      <c r="B18" s="109"/>
      <c r="C18" s="109"/>
      <c r="D18" s="109"/>
      <c r="E18" s="109"/>
      <c r="F18" s="133"/>
      <c r="G18" s="133"/>
      <c r="I18" s="133"/>
      <c r="N18" s="133"/>
      <c r="O18" s="133"/>
    </row>
    <row r="19" spans="1:15" ht="25.5" customHeight="1" x14ac:dyDescent="0.25">
      <c r="B19" s="416" t="s">
        <v>156</v>
      </c>
      <c r="C19" s="416" t="s">
        <v>158</v>
      </c>
      <c r="D19" s="416" t="s">
        <v>155</v>
      </c>
      <c r="E19" s="417" t="s">
        <v>157</v>
      </c>
    </row>
    <row r="20" spans="1:15" ht="25.5" customHeight="1" x14ac:dyDescent="0.25">
      <c r="B20" s="416"/>
      <c r="C20" s="416"/>
      <c r="D20" s="416"/>
      <c r="E20" s="418"/>
    </row>
    <row r="21" spans="1:15" x14ac:dyDescent="0.25">
      <c r="B21" s="136">
        <f>+D15</f>
        <v>12601.317660420216</v>
      </c>
      <c r="C21" s="136">
        <f>+B21*12</f>
        <v>151215.8119250426</v>
      </c>
      <c r="D21" s="135">
        <v>62</v>
      </c>
      <c r="E21" s="297">
        <f>+C21*D21</f>
        <v>9375380.3393526413</v>
      </c>
      <c r="F21" s="142"/>
    </row>
  </sheetData>
  <mergeCells count="11">
    <mergeCell ref="B19:B20"/>
    <mergeCell ref="C19:C20"/>
    <mergeCell ref="D19:D20"/>
    <mergeCell ref="E19:E20"/>
    <mergeCell ref="B12:D12"/>
    <mergeCell ref="A1:I1"/>
    <mergeCell ref="G15:J15"/>
    <mergeCell ref="B17:D17"/>
    <mergeCell ref="A11:G11"/>
    <mergeCell ref="A9:E9"/>
    <mergeCell ref="A10:E10"/>
  </mergeCell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sheetPr>
  <dimension ref="A1:I50"/>
  <sheetViews>
    <sheetView zoomScaleNormal="100" workbookViewId="0">
      <selection activeCell="A49" sqref="A49:D49"/>
    </sheetView>
  </sheetViews>
  <sheetFormatPr baseColWidth="10" defaultColWidth="11.42578125" defaultRowHeight="12.75" x14ac:dyDescent="0.2"/>
  <cols>
    <col min="1" max="1" width="39.85546875" style="22" customWidth="1"/>
    <col min="2" max="2" width="16.5703125" style="22" customWidth="1"/>
    <col min="3" max="3" width="16.5703125" style="52" customWidth="1"/>
    <col min="4" max="5" width="16.5703125" style="22" customWidth="1"/>
    <col min="6" max="6" width="24.28515625" style="22" customWidth="1"/>
    <col min="7" max="7" width="23.42578125" style="22" customWidth="1"/>
    <col min="8" max="8" width="13.28515625" style="22" customWidth="1"/>
    <col min="9" max="9" width="13.42578125" style="80" bestFit="1" customWidth="1"/>
    <col min="10" max="10" width="11.85546875" style="22" customWidth="1"/>
    <col min="11" max="11" width="8.42578125" style="22" bestFit="1" customWidth="1"/>
    <col min="12" max="12" width="10.7109375" style="22" customWidth="1"/>
    <col min="13" max="13" width="8.42578125" style="22" bestFit="1" customWidth="1"/>
    <col min="14" max="14" width="8" style="22" customWidth="1"/>
    <col min="15" max="15" width="12.28515625" style="22" customWidth="1"/>
    <col min="16" max="16" width="11.5703125" style="22" bestFit="1" customWidth="1"/>
    <col min="17" max="16384" width="11.42578125" style="22"/>
  </cols>
  <sheetData>
    <row r="1" spans="1:9" ht="15.75" x14ac:dyDescent="0.25">
      <c r="A1" s="111" t="s">
        <v>130</v>
      </c>
    </row>
    <row r="3" spans="1:9" x14ac:dyDescent="0.2">
      <c r="A3" s="51" t="s">
        <v>68</v>
      </c>
      <c r="I3" s="53"/>
    </row>
    <row r="4" spans="1:9" x14ac:dyDescent="0.2">
      <c r="A4" s="420" t="s">
        <v>69</v>
      </c>
      <c r="B4" s="420" t="s">
        <v>70</v>
      </c>
      <c r="C4" s="420" t="s">
        <v>71</v>
      </c>
      <c r="D4" s="420" t="s">
        <v>72</v>
      </c>
      <c r="E4" s="421" t="s">
        <v>73</v>
      </c>
      <c r="F4" s="420" t="s">
        <v>68</v>
      </c>
      <c r="G4" s="420"/>
      <c r="H4" s="420"/>
      <c r="I4" s="22"/>
    </row>
    <row r="5" spans="1:9" x14ac:dyDescent="0.2">
      <c r="A5" s="420"/>
      <c r="B5" s="420"/>
      <c r="C5" s="420"/>
      <c r="D5" s="420"/>
      <c r="E5" s="422"/>
      <c r="F5" s="98" t="s">
        <v>74</v>
      </c>
      <c r="G5" s="92" t="s">
        <v>31</v>
      </c>
      <c r="H5" s="99" t="s">
        <v>75</v>
      </c>
      <c r="I5" s="22"/>
    </row>
    <row r="6" spans="1:9" ht="21" customHeight="1" x14ac:dyDescent="0.2">
      <c r="A6" s="424" t="s">
        <v>131</v>
      </c>
      <c r="B6" s="424">
        <v>3.8</v>
      </c>
      <c r="C6" s="425">
        <v>1</v>
      </c>
      <c r="D6" s="425">
        <v>20</v>
      </c>
      <c r="E6" s="426">
        <f>C6*10000*1000*D6/100</f>
        <v>2000000</v>
      </c>
      <c r="F6" s="100" t="s">
        <v>133</v>
      </c>
      <c r="G6" s="101">
        <v>0</v>
      </c>
      <c r="H6" s="102">
        <f>E6*(G6*0.02)/100</f>
        <v>0</v>
      </c>
      <c r="I6" s="22"/>
    </row>
    <row r="7" spans="1:9" ht="21" customHeight="1" x14ac:dyDescent="0.2">
      <c r="A7" s="424"/>
      <c r="B7" s="424"/>
      <c r="C7" s="425"/>
      <c r="D7" s="425"/>
      <c r="E7" s="426"/>
      <c r="F7" s="100" t="s">
        <v>134</v>
      </c>
      <c r="G7" s="101">
        <v>0.1</v>
      </c>
      <c r="H7" s="102">
        <f>E6*(G7*0.0121)/100</f>
        <v>24.200000000000003</v>
      </c>
      <c r="I7" s="22"/>
    </row>
    <row r="8" spans="1:9" ht="21" customHeight="1" x14ac:dyDescent="0.2">
      <c r="A8" s="424"/>
      <c r="B8" s="424"/>
      <c r="C8" s="425"/>
      <c r="D8" s="425"/>
      <c r="E8" s="426"/>
      <c r="F8" s="100" t="s">
        <v>135</v>
      </c>
      <c r="G8" s="101">
        <v>0.11</v>
      </c>
      <c r="H8" s="102">
        <f>E6*(G8*0.0391)/100</f>
        <v>86.02</v>
      </c>
      <c r="I8" s="22"/>
    </row>
    <row r="9" spans="1:9" ht="21" customHeight="1" x14ac:dyDescent="0.2">
      <c r="A9" s="427" t="s">
        <v>132</v>
      </c>
      <c r="B9" s="427">
        <v>9.0399999999999991</v>
      </c>
      <c r="C9" s="430">
        <v>1</v>
      </c>
      <c r="D9" s="430">
        <v>28</v>
      </c>
      <c r="E9" s="433">
        <f>C9*10000*1000*D9/100</f>
        <v>2800000</v>
      </c>
      <c r="F9" s="100" t="s">
        <v>133</v>
      </c>
      <c r="G9" s="101">
        <v>0.2</v>
      </c>
      <c r="H9" s="102">
        <f>E9*(G9*0.02)/100</f>
        <v>112</v>
      </c>
      <c r="I9" s="22"/>
    </row>
    <row r="10" spans="1:9" ht="21" customHeight="1" x14ac:dyDescent="0.2">
      <c r="A10" s="428"/>
      <c r="B10" s="428"/>
      <c r="C10" s="431"/>
      <c r="D10" s="431"/>
      <c r="E10" s="434"/>
      <c r="F10" s="100" t="s">
        <v>134</v>
      </c>
      <c r="G10" s="101">
        <v>0.5</v>
      </c>
      <c r="H10" s="102">
        <f>E9*(G10*0.0121)/100</f>
        <v>169.4</v>
      </c>
      <c r="I10" s="22"/>
    </row>
    <row r="11" spans="1:9" ht="21" customHeight="1" x14ac:dyDescent="0.2">
      <c r="A11" s="429"/>
      <c r="B11" s="429"/>
      <c r="C11" s="432"/>
      <c r="D11" s="432"/>
      <c r="E11" s="435"/>
      <c r="F11" s="100" t="s">
        <v>135</v>
      </c>
      <c r="G11" s="101">
        <v>0.04</v>
      </c>
      <c r="H11" s="102">
        <f>E9*(G11*0.0391)/100</f>
        <v>43.792000000000002</v>
      </c>
      <c r="I11" s="22"/>
    </row>
    <row r="12" spans="1:9" x14ac:dyDescent="0.2">
      <c r="A12" s="423" t="s">
        <v>102</v>
      </c>
      <c r="B12" s="423"/>
      <c r="C12" s="423"/>
      <c r="D12" s="423"/>
      <c r="E12" s="423"/>
      <c r="F12" s="423"/>
      <c r="G12" s="423"/>
      <c r="H12" s="423"/>
      <c r="I12" s="55"/>
    </row>
    <row r="13" spans="1:9" x14ac:dyDescent="0.2">
      <c r="A13" s="56"/>
      <c r="B13" s="56"/>
      <c r="C13" s="56"/>
      <c r="D13" s="56"/>
      <c r="E13" s="56"/>
      <c r="F13" s="56"/>
      <c r="G13" s="56"/>
      <c r="H13" s="56"/>
      <c r="I13" s="55"/>
    </row>
    <row r="14" spans="1:9" x14ac:dyDescent="0.2">
      <c r="A14" s="57" t="s">
        <v>76</v>
      </c>
      <c r="B14" s="54"/>
      <c r="C14" s="58"/>
      <c r="D14" s="31"/>
      <c r="I14" s="59"/>
    </row>
    <row r="15" spans="1:9" x14ac:dyDescent="0.2">
      <c r="A15" s="439" t="s">
        <v>77</v>
      </c>
      <c r="B15" s="439"/>
      <c r="C15" s="439"/>
      <c r="D15" s="439"/>
      <c r="I15" s="53"/>
    </row>
    <row r="16" spans="1:9" s="61" customFormat="1" ht="38.25" x14ac:dyDescent="0.2">
      <c r="A16" s="60" t="s">
        <v>78</v>
      </c>
      <c r="B16" s="60" t="s">
        <v>79</v>
      </c>
      <c r="C16" s="60" t="s">
        <v>80</v>
      </c>
      <c r="D16" s="60" t="s">
        <v>81</v>
      </c>
      <c r="G16" s="62"/>
      <c r="H16" s="52"/>
      <c r="I16" s="63"/>
    </row>
    <row r="17" spans="1:9" s="61" customFormat="1" x14ac:dyDescent="0.2">
      <c r="A17" s="64" t="s">
        <v>82</v>
      </c>
      <c r="B17" s="65">
        <v>15</v>
      </c>
      <c r="C17" s="66">
        <f>B17/$B$20</f>
        <v>0.33333333333333331</v>
      </c>
      <c r="D17" s="67">
        <f>$B$22/50*C17</f>
        <v>618</v>
      </c>
      <c r="G17" s="68"/>
      <c r="H17" s="68"/>
      <c r="I17" s="69"/>
    </row>
    <row r="18" spans="1:9" s="61" customFormat="1" x14ac:dyDescent="0.2">
      <c r="A18" s="64" t="s">
        <v>83</v>
      </c>
      <c r="B18" s="65">
        <v>15</v>
      </c>
      <c r="C18" s="66">
        <f>B18/$B$20</f>
        <v>0.33333333333333331</v>
      </c>
      <c r="D18" s="67">
        <f>$B$22/50*C18</f>
        <v>618</v>
      </c>
      <c r="G18" s="68"/>
      <c r="H18" s="68"/>
      <c r="I18" s="69"/>
    </row>
    <row r="19" spans="1:9" s="61" customFormat="1" x14ac:dyDescent="0.2">
      <c r="A19" s="64" t="s">
        <v>84</v>
      </c>
      <c r="B19" s="65">
        <v>15</v>
      </c>
      <c r="C19" s="66">
        <f>B19/$B$20</f>
        <v>0.33333333333333331</v>
      </c>
      <c r="D19" s="67">
        <f>$B$22/50*C19</f>
        <v>618</v>
      </c>
      <c r="G19" s="68"/>
      <c r="H19" s="68"/>
      <c r="I19" s="69"/>
    </row>
    <row r="20" spans="1:9" s="61" customFormat="1" x14ac:dyDescent="0.2">
      <c r="A20" s="64" t="s">
        <v>0</v>
      </c>
      <c r="B20" s="65">
        <f>SUM(B17:B19)</f>
        <v>45</v>
      </c>
      <c r="C20" s="65"/>
      <c r="D20" s="70"/>
      <c r="G20" s="68"/>
      <c r="H20" s="68"/>
      <c r="I20" s="69"/>
    </row>
    <row r="21" spans="1:9" s="61" customFormat="1" x14ac:dyDescent="0.2">
      <c r="A21" s="31"/>
      <c r="B21" s="31"/>
      <c r="C21" s="58"/>
      <c r="D21" s="58"/>
      <c r="E21" s="71"/>
      <c r="F21" s="71"/>
      <c r="G21" s="68"/>
      <c r="H21" s="68"/>
      <c r="I21" s="69"/>
    </row>
    <row r="22" spans="1:9" s="61" customFormat="1" ht="25.5" x14ac:dyDescent="0.2">
      <c r="A22" s="60" t="s">
        <v>159</v>
      </c>
      <c r="B22" s="72">
        <v>92700</v>
      </c>
      <c r="C22" s="73"/>
      <c r="D22" s="51"/>
      <c r="G22" s="68"/>
      <c r="H22" s="68"/>
      <c r="I22" s="69"/>
    </row>
    <row r="23" spans="1:9" s="61" customFormat="1" ht="12.75" customHeight="1" x14ac:dyDescent="0.2">
      <c r="A23" s="440" t="s">
        <v>103</v>
      </c>
      <c r="B23" s="440"/>
      <c r="C23" s="73"/>
      <c r="D23" s="51"/>
      <c r="G23" s="68"/>
      <c r="H23" s="68"/>
      <c r="I23" s="69"/>
    </row>
    <row r="24" spans="1:9" s="61" customFormat="1" x14ac:dyDescent="0.2">
      <c r="A24" s="74"/>
      <c r="B24" s="74"/>
      <c r="C24" s="75"/>
      <c r="G24" s="68"/>
      <c r="H24" s="68"/>
      <c r="I24" s="69"/>
    </row>
    <row r="25" spans="1:9" s="61" customFormat="1" x14ac:dyDescent="0.2">
      <c r="A25" s="441" t="s">
        <v>85</v>
      </c>
      <c r="B25" s="442"/>
      <c r="C25" s="442"/>
      <c r="D25" s="443"/>
      <c r="E25" s="22"/>
      <c r="F25" s="22"/>
      <c r="G25" s="68"/>
      <c r="H25" s="68"/>
      <c r="I25" s="69"/>
    </row>
    <row r="26" spans="1:9" s="61" customFormat="1" ht="38.25" x14ac:dyDescent="0.2">
      <c r="A26" s="60" t="s">
        <v>78</v>
      </c>
      <c r="B26" s="60" t="s">
        <v>79</v>
      </c>
      <c r="C26" s="60" t="s">
        <v>80</v>
      </c>
      <c r="D26" s="60" t="s">
        <v>81</v>
      </c>
      <c r="E26" s="22"/>
      <c r="F26" s="22"/>
      <c r="G26" s="68"/>
      <c r="H26" s="68"/>
      <c r="I26" s="69"/>
    </row>
    <row r="27" spans="1:9" s="61" customFormat="1" x14ac:dyDescent="0.2">
      <c r="A27" s="64" t="s">
        <v>84</v>
      </c>
      <c r="B27" s="65">
        <v>12</v>
      </c>
      <c r="C27" s="66">
        <f>B27/$B$34</f>
        <v>0.27149321266968324</v>
      </c>
      <c r="D27" s="67">
        <f t="shared" ref="D27:D33" si="0">$B$35/46*C27</f>
        <v>417.27326382057839</v>
      </c>
      <c r="E27" s="22"/>
      <c r="F27" s="22"/>
      <c r="G27" s="68"/>
      <c r="H27" s="68"/>
      <c r="I27" s="69"/>
    </row>
    <row r="28" spans="1:9" s="61" customFormat="1" x14ac:dyDescent="0.2">
      <c r="A28" s="64" t="s">
        <v>86</v>
      </c>
      <c r="B28" s="65">
        <v>17</v>
      </c>
      <c r="C28" s="66">
        <f t="shared" ref="C28:C33" si="1">B28/$B$34</f>
        <v>0.38461538461538458</v>
      </c>
      <c r="D28" s="67">
        <f t="shared" si="0"/>
        <v>591.13712374581939</v>
      </c>
      <c r="E28" s="22"/>
      <c r="F28" s="22"/>
      <c r="G28" s="68"/>
      <c r="H28" s="68"/>
      <c r="I28" s="69"/>
    </row>
    <row r="29" spans="1:9" s="61" customFormat="1" x14ac:dyDescent="0.2">
      <c r="A29" s="64" t="s">
        <v>87</v>
      </c>
      <c r="B29" s="65">
        <v>7</v>
      </c>
      <c r="C29" s="66">
        <f t="shared" si="1"/>
        <v>0.15837104072398189</v>
      </c>
      <c r="D29" s="67">
        <f t="shared" si="0"/>
        <v>243.40940389533739</v>
      </c>
      <c r="E29" s="22"/>
      <c r="F29" s="22"/>
      <c r="G29" s="68"/>
      <c r="H29" s="68"/>
      <c r="I29" s="69"/>
    </row>
    <row r="30" spans="1:9" s="61" customFormat="1" x14ac:dyDescent="0.2">
      <c r="A30" s="64" t="s">
        <v>88</v>
      </c>
      <c r="B30" s="65">
        <v>6</v>
      </c>
      <c r="C30" s="66">
        <f t="shared" si="1"/>
        <v>0.13574660633484162</v>
      </c>
      <c r="D30" s="67">
        <f t="shared" si="0"/>
        <v>208.6366319102892</v>
      </c>
      <c r="E30" s="22"/>
      <c r="F30" s="22"/>
      <c r="G30" s="68"/>
      <c r="H30" s="68"/>
      <c r="I30" s="69"/>
    </row>
    <row r="31" spans="1:9" s="61" customFormat="1" x14ac:dyDescent="0.2">
      <c r="A31" s="64" t="s">
        <v>89</v>
      </c>
      <c r="B31" s="65">
        <v>0.9</v>
      </c>
      <c r="C31" s="66">
        <f t="shared" si="1"/>
        <v>2.0361990950226245E-2</v>
      </c>
      <c r="D31" s="67">
        <f t="shared" si="0"/>
        <v>31.295494786543383</v>
      </c>
      <c r="E31" s="22"/>
      <c r="F31" s="22"/>
      <c r="G31" s="68"/>
      <c r="H31" s="68"/>
      <c r="I31" s="69"/>
    </row>
    <row r="32" spans="1:9" s="61" customFormat="1" x14ac:dyDescent="0.2">
      <c r="A32" s="64" t="s">
        <v>90</v>
      </c>
      <c r="B32" s="65">
        <v>0.7</v>
      </c>
      <c r="C32" s="66">
        <f t="shared" si="1"/>
        <v>1.5837104072398189E-2</v>
      </c>
      <c r="D32" s="67">
        <f t="shared" si="0"/>
        <v>24.340940389533738</v>
      </c>
      <c r="E32" s="22"/>
      <c r="F32" s="22"/>
      <c r="G32" s="68"/>
      <c r="H32" s="68"/>
      <c r="I32" s="69"/>
    </row>
    <row r="33" spans="1:9" s="61" customFormat="1" x14ac:dyDescent="0.2">
      <c r="A33" s="64" t="s">
        <v>91</v>
      </c>
      <c r="B33" s="65">
        <v>0.6</v>
      </c>
      <c r="C33" s="66">
        <f t="shared" si="1"/>
        <v>1.3574660633484162E-2</v>
      </c>
      <c r="D33" s="67">
        <f t="shared" si="0"/>
        <v>20.86366319102892</v>
      </c>
      <c r="E33" s="22"/>
      <c r="F33" s="22"/>
      <c r="G33" s="68"/>
      <c r="H33" s="68"/>
      <c r="I33" s="69"/>
    </row>
    <row r="34" spans="1:9" s="61" customFormat="1" x14ac:dyDescent="0.2">
      <c r="A34" s="64" t="s">
        <v>0</v>
      </c>
      <c r="B34" s="65">
        <f>SUM(B27:B33)</f>
        <v>44.2</v>
      </c>
      <c r="C34" s="65"/>
      <c r="D34" s="70"/>
      <c r="E34" s="22"/>
      <c r="F34" s="22"/>
      <c r="G34" s="68"/>
      <c r="H34" s="68"/>
      <c r="I34" s="69"/>
    </row>
    <row r="35" spans="1:9" s="61" customFormat="1" ht="25.5" x14ac:dyDescent="0.2">
      <c r="A35" s="60" t="s">
        <v>92</v>
      </c>
      <c r="B35" s="72">
        <v>70700</v>
      </c>
      <c r="C35" s="73"/>
      <c r="D35" s="31"/>
      <c r="E35" s="22"/>
      <c r="F35" s="22"/>
      <c r="G35" s="68"/>
      <c r="H35" s="68"/>
      <c r="I35" s="69"/>
    </row>
    <row r="36" spans="1:9" s="61" customFormat="1" x14ac:dyDescent="0.2">
      <c r="A36" s="440" t="s">
        <v>103</v>
      </c>
      <c r="B36" s="440"/>
      <c r="C36" s="73"/>
      <c r="D36" s="31"/>
      <c r="E36" s="22"/>
      <c r="F36" s="22"/>
      <c r="G36" s="68"/>
      <c r="H36" s="68"/>
      <c r="I36" s="69"/>
    </row>
    <row r="37" spans="1:9" s="61" customFormat="1" x14ac:dyDescent="0.2">
      <c r="C37" s="75"/>
      <c r="D37" s="22"/>
      <c r="E37" s="22"/>
      <c r="F37" s="22"/>
      <c r="G37" s="68"/>
      <c r="H37" s="68"/>
      <c r="I37" s="69"/>
    </row>
    <row r="38" spans="1:9" x14ac:dyDescent="0.2">
      <c r="A38" s="92" t="s">
        <v>93</v>
      </c>
      <c r="B38" s="92" t="s">
        <v>94</v>
      </c>
      <c r="C38" s="92" t="s">
        <v>95</v>
      </c>
      <c r="D38" s="92" t="s">
        <v>96</v>
      </c>
      <c r="E38" s="103"/>
    </row>
    <row r="39" spans="1:9" x14ac:dyDescent="0.2">
      <c r="A39" s="77" t="s">
        <v>97</v>
      </c>
      <c r="B39" s="81">
        <f>+D28</f>
        <v>591.13712374581939</v>
      </c>
      <c r="C39" s="81">
        <f>+D30</f>
        <v>208.6366319102892</v>
      </c>
      <c r="D39" s="82">
        <f>+D18</f>
        <v>618</v>
      </c>
      <c r="E39" s="108"/>
    </row>
    <row r="40" spans="1:9" x14ac:dyDescent="0.2">
      <c r="A40" s="51"/>
      <c r="B40" s="276"/>
      <c r="C40" s="276"/>
      <c r="D40" s="108"/>
      <c r="E40" s="108"/>
      <c r="I40" s="277"/>
    </row>
    <row r="41" spans="1:9" x14ac:dyDescent="0.2">
      <c r="A41" s="51"/>
      <c r="B41" s="276"/>
      <c r="C41" s="276"/>
      <c r="D41" s="108"/>
      <c r="E41" s="108"/>
      <c r="I41" s="277"/>
    </row>
    <row r="42" spans="1:9" ht="24" customHeight="1" x14ac:dyDescent="0.2">
      <c r="A42" s="420" t="s">
        <v>160</v>
      </c>
      <c r="B42" s="420"/>
      <c r="C42" s="420"/>
      <c r="D42" s="420"/>
      <c r="E42" s="51"/>
      <c r="F42" s="75"/>
      <c r="G42" s="61"/>
      <c r="H42" s="61"/>
      <c r="I42" s="53"/>
    </row>
    <row r="43" spans="1:9" ht="21.75" customHeight="1" x14ac:dyDescent="0.2">
      <c r="A43" s="92" t="s">
        <v>93</v>
      </c>
      <c r="B43" s="92" t="s">
        <v>94</v>
      </c>
      <c r="C43" s="92" t="s">
        <v>95</v>
      </c>
      <c r="D43" s="92" t="s">
        <v>96</v>
      </c>
      <c r="E43" s="103"/>
      <c r="F43" s="76"/>
      <c r="G43" s="76"/>
      <c r="H43" s="76"/>
      <c r="I43" s="53"/>
    </row>
    <row r="44" spans="1:9" ht="18" customHeight="1" x14ac:dyDescent="0.2">
      <c r="A44" s="77" t="s">
        <v>123</v>
      </c>
      <c r="B44" s="139">
        <f>H6+H9</f>
        <v>112</v>
      </c>
      <c r="C44" s="139">
        <f>+H7+H10</f>
        <v>193.60000000000002</v>
      </c>
      <c r="D44" s="140">
        <f>+H8+H11</f>
        <v>129.81200000000001</v>
      </c>
      <c r="E44" s="104"/>
      <c r="F44" s="78"/>
      <c r="G44" s="79"/>
      <c r="H44" s="79"/>
    </row>
    <row r="45" spans="1:9" x14ac:dyDescent="0.2">
      <c r="A45" s="77" t="s">
        <v>97</v>
      </c>
      <c r="B45" s="81">
        <f>D28</f>
        <v>591.13712374581939</v>
      </c>
      <c r="C45" s="81">
        <f>D30</f>
        <v>208.6366319102892</v>
      </c>
      <c r="D45" s="82">
        <f>D18</f>
        <v>618</v>
      </c>
      <c r="E45" s="105"/>
      <c r="F45" s="83"/>
      <c r="G45" s="84"/>
      <c r="H45" s="85"/>
      <c r="I45" s="86"/>
    </row>
    <row r="46" spans="1:9" x14ac:dyDescent="0.2">
      <c r="A46" s="77" t="s">
        <v>98</v>
      </c>
      <c r="B46" s="141">
        <f>B44*B45</f>
        <v>66207.357859531767</v>
      </c>
      <c r="C46" s="141">
        <f>C44*C45</f>
        <v>40392.051937831995</v>
      </c>
      <c r="D46" s="141">
        <f>D44*D45</f>
        <v>80223.816000000006</v>
      </c>
      <c r="E46" s="106"/>
      <c r="F46" s="87"/>
      <c r="G46" s="87"/>
      <c r="H46" s="87"/>
    </row>
    <row r="47" spans="1:9" x14ac:dyDescent="0.2">
      <c r="A47" s="77" t="s">
        <v>99</v>
      </c>
      <c r="B47" s="436">
        <f>SUM(B46:D46)</f>
        <v>186823.22579736379</v>
      </c>
      <c r="C47" s="436"/>
      <c r="D47" s="436"/>
      <c r="E47" s="107"/>
      <c r="F47" s="88"/>
      <c r="G47" s="89"/>
      <c r="H47" s="87"/>
    </row>
    <row r="48" spans="1:9" x14ac:dyDescent="0.2">
      <c r="A48" s="77" t="s">
        <v>100</v>
      </c>
      <c r="B48" s="437">
        <f>+B6+B9</f>
        <v>12.84</v>
      </c>
      <c r="C48" s="437"/>
      <c r="D48" s="437"/>
      <c r="E48" s="91"/>
      <c r="F48" s="90"/>
      <c r="G48" s="91"/>
      <c r="H48" s="87"/>
    </row>
    <row r="49" spans="1:8" ht="13.5" customHeight="1" x14ac:dyDescent="0.2">
      <c r="A49" s="298" t="s">
        <v>101</v>
      </c>
      <c r="B49" s="438">
        <f>+B47*B48</f>
        <v>2398810.2192381509</v>
      </c>
      <c r="C49" s="438"/>
      <c r="D49" s="438"/>
      <c r="E49" s="89"/>
      <c r="F49" s="88"/>
      <c r="G49" s="89"/>
      <c r="H49" s="87"/>
    </row>
    <row r="50" spans="1:8" ht="13.5" customHeight="1" x14ac:dyDescent="0.2">
      <c r="A50" s="61"/>
      <c r="B50" s="88"/>
      <c r="C50" s="88"/>
      <c r="D50" s="88"/>
      <c r="E50" s="88"/>
      <c r="F50" s="88"/>
      <c r="G50" s="88"/>
      <c r="H50" s="87"/>
    </row>
  </sheetData>
  <mergeCells count="25">
    <mergeCell ref="A42:D42"/>
    <mergeCell ref="B47:D47"/>
    <mergeCell ref="B48:D48"/>
    <mergeCell ref="B49:D49"/>
    <mergeCell ref="A15:D15"/>
    <mergeCell ref="A23:B23"/>
    <mergeCell ref="A25:D25"/>
    <mergeCell ref="A36:B36"/>
    <mergeCell ref="A12:H12"/>
    <mergeCell ref="A6:A8"/>
    <mergeCell ref="B6:B8"/>
    <mergeCell ref="C6:C8"/>
    <mergeCell ref="D6:D8"/>
    <mergeCell ref="E6:E8"/>
    <mergeCell ref="A9:A11"/>
    <mergeCell ref="B9:B11"/>
    <mergeCell ref="C9:C11"/>
    <mergeCell ref="D9:D11"/>
    <mergeCell ref="E9:E11"/>
    <mergeCell ref="F4:H4"/>
    <mergeCell ref="A4:A5"/>
    <mergeCell ref="B4:B5"/>
    <mergeCell ref="C4:C5"/>
    <mergeCell ref="D4:D5"/>
    <mergeCell ref="E4:E5"/>
  </mergeCells>
  <pageMargins left="0.7" right="0.7" top="0.75" bottom="0.75" header="0.3" footer="0.3"/>
  <pageSetup paperSize="1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sheetPr>
  <dimension ref="A1:F26"/>
  <sheetViews>
    <sheetView zoomScale="85" zoomScaleNormal="85" workbookViewId="0">
      <selection activeCell="H13" sqref="H13"/>
    </sheetView>
  </sheetViews>
  <sheetFormatPr baseColWidth="10" defaultColWidth="11.42578125" defaultRowHeight="14.25" x14ac:dyDescent="0.2"/>
  <cols>
    <col min="1" max="1" width="39.5703125" style="11" customWidth="1"/>
    <col min="2" max="2" width="25.85546875" style="11" customWidth="1"/>
    <col min="3" max="3" width="14.85546875" style="11" customWidth="1"/>
    <col min="4" max="4" width="18" style="11" customWidth="1"/>
    <col min="5" max="5" width="25.85546875" style="11" customWidth="1"/>
    <col min="6" max="6" width="20.5703125" style="11" customWidth="1"/>
    <col min="7" max="16384" width="11.42578125" style="11"/>
  </cols>
  <sheetData>
    <row r="1" spans="1:5" s="383" customFormat="1" ht="15.75" x14ac:dyDescent="0.2">
      <c r="A1" s="382" t="s">
        <v>166</v>
      </c>
      <c r="B1" s="382"/>
      <c r="C1" s="382"/>
    </row>
    <row r="3" spans="1:5" ht="15" x14ac:dyDescent="0.2">
      <c r="A3" s="444" t="s">
        <v>161</v>
      </c>
      <c r="B3" s="444"/>
    </row>
    <row r="4" spans="1:5" ht="18.75" customHeight="1" x14ac:dyDescent="0.2">
      <c r="A4" s="206" t="s">
        <v>254</v>
      </c>
      <c r="B4" s="48">
        <v>10.6</v>
      </c>
    </row>
    <row r="5" spans="1:5" ht="18.75" customHeight="1" x14ac:dyDescent="0.2">
      <c r="A5" s="206" t="s">
        <v>255</v>
      </c>
      <c r="B5" s="48">
        <f>30/1000</f>
        <v>0.03</v>
      </c>
    </row>
    <row r="6" spans="1:5" ht="18.75" customHeight="1" x14ac:dyDescent="0.2">
      <c r="A6" s="34" t="s">
        <v>256</v>
      </c>
      <c r="B6" s="48">
        <f>0.1/1000</f>
        <v>1E-4</v>
      </c>
    </row>
    <row r="7" spans="1:5" ht="18.75" customHeight="1" x14ac:dyDescent="0.2">
      <c r="A7" s="34" t="s">
        <v>257</v>
      </c>
      <c r="B7" s="48">
        <f>0.021/1000</f>
        <v>2.1000000000000002E-5</v>
      </c>
    </row>
    <row r="8" spans="1:5" ht="18.75" customHeight="1" x14ac:dyDescent="0.2">
      <c r="A8" s="34" t="s">
        <v>258</v>
      </c>
      <c r="B8" s="48">
        <f>0.003/1000</f>
        <v>3.0000000000000001E-6</v>
      </c>
    </row>
    <row r="9" spans="1:5" ht="18.75" customHeight="1" x14ac:dyDescent="0.2">
      <c r="A9" s="206" t="s">
        <v>259</v>
      </c>
      <c r="B9" s="205">
        <f>SUM(B4:B8)</f>
        <v>10.630123999999999</v>
      </c>
    </row>
    <row r="10" spans="1:5" ht="18.75" customHeight="1" x14ac:dyDescent="0.2">
      <c r="A10" s="206" t="s">
        <v>260</v>
      </c>
      <c r="B10" s="144">
        <f>B9*86400*30</f>
        <v>27553281.407999996</v>
      </c>
    </row>
    <row r="11" spans="1:5" ht="18.75" customHeight="1" x14ac:dyDescent="0.25">
      <c r="A11" s="146" t="s">
        <v>175</v>
      </c>
      <c r="B11" s="147">
        <f>+B10*12</f>
        <v>330639376.89599997</v>
      </c>
    </row>
    <row r="12" spans="1:5" s="150" customFormat="1" x14ac:dyDescent="0.2"/>
    <row r="13" spans="1:5" ht="35.25" customHeight="1" x14ac:dyDescent="0.2">
      <c r="A13" s="445" t="s">
        <v>162</v>
      </c>
      <c r="B13" s="445"/>
      <c r="D13" s="143" t="s">
        <v>165</v>
      </c>
      <c r="E13" s="48">
        <v>96.92</v>
      </c>
    </row>
    <row r="14" spans="1:5" ht="36" customHeight="1" x14ac:dyDescent="0.2">
      <c r="A14" s="48" t="s">
        <v>163</v>
      </c>
      <c r="B14" s="48" t="s">
        <v>164</v>
      </c>
      <c r="D14" s="143" t="s">
        <v>167</v>
      </c>
      <c r="E14" s="48">
        <v>105.29</v>
      </c>
    </row>
    <row r="15" spans="1:5" ht="18.75" customHeight="1" x14ac:dyDescent="0.2">
      <c r="A15" s="48">
        <v>11.5</v>
      </c>
      <c r="B15" s="145">
        <f>A15*(E14/E13)</f>
        <v>12.493138671068925</v>
      </c>
    </row>
    <row r="16" spans="1:5" ht="34.5" customHeight="1" x14ac:dyDescent="0.2">
      <c r="A16" s="447" t="s">
        <v>261</v>
      </c>
      <c r="B16" s="447"/>
      <c r="C16" s="448"/>
    </row>
    <row r="17" spans="1:6" ht="18.75" customHeight="1" thickBot="1" x14ac:dyDescent="0.25"/>
    <row r="18" spans="1:6" s="150" customFormat="1" ht="55.5" customHeight="1" x14ac:dyDescent="0.2">
      <c r="A18" s="151" t="s">
        <v>171</v>
      </c>
      <c r="B18" s="151" t="s">
        <v>176</v>
      </c>
      <c r="C18" s="152" t="s">
        <v>168</v>
      </c>
      <c r="D18" s="153" t="s">
        <v>169</v>
      </c>
      <c r="E18" s="203" t="s">
        <v>170</v>
      </c>
    </row>
    <row r="19" spans="1:6" s="150" customFormat="1" ht="15.75" thickBot="1" x14ac:dyDescent="0.25">
      <c r="A19" s="146" t="s">
        <v>174</v>
      </c>
      <c r="B19" s="154">
        <f>+B11</f>
        <v>330639376.89599997</v>
      </c>
      <c r="C19" s="149">
        <f>+B15</f>
        <v>12.493138671068925</v>
      </c>
      <c r="D19" s="148">
        <v>0.1</v>
      </c>
      <c r="E19" s="204">
        <f>+B19*C19*D19</f>
        <v>413072358.56775504</v>
      </c>
      <c r="F19" s="209"/>
    </row>
    <row r="20" spans="1:6" s="150" customFormat="1" x14ac:dyDescent="0.2"/>
    <row r="21" spans="1:6" s="150" customFormat="1" x14ac:dyDescent="0.2"/>
    <row r="22" spans="1:6" s="150" customFormat="1" ht="22.5" customHeight="1" x14ac:dyDescent="0.2"/>
    <row r="23" spans="1:6" s="150" customFormat="1" ht="15" x14ac:dyDescent="0.2">
      <c r="A23" s="446" t="s">
        <v>172</v>
      </c>
      <c r="B23" s="446"/>
      <c r="C23" s="446"/>
      <c r="D23" s="446"/>
      <c r="E23" s="446"/>
    </row>
    <row r="24" spans="1:6" s="150" customFormat="1" x14ac:dyDescent="0.2">
      <c r="B24" s="207" t="s">
        <v>173</v>
      </c>
    </row>
    <row r="25" spans="1:6" s="208" customFormat="1" ht="15" x14ac:dyDescent="0.25"/>
    <row r="26" spans="1:6" customFormat="1" ht="15" x14ac:dyDescent="0.25"/>
  </sheetData>
  <mergeCells count="4">
    <mergeCell ref="A3:B3"/>
    <mergeCell ref="A13:B13"/>
    <mergeCell ref="A23:E23"/>
    <mergeCell ref="A16:C16"/>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5</vt:i4>
      </vt:variant>
    </vt:vector>
  </HeadingPairs>
  <TitlesOfParts>
    <vt:vector size="22" baseType="lpstr">
      <vt:lpstr>ACB </vt:lpstr>
      <vt:lpstr>Sensibilidad</vt:lpstr>
      <vt:lpstr>Generación_empleo</vt:lpstr>
      <vt:lpstr>Adicional_riesgo_accidentes</vt:lpstr>
      <vt:lpstr>Redución emisiones GEI</vt:lpstr>
      <vt:lpstr>Adicional_compensacion</vt:lpstr>
      <vt:lpstr>Alteración_paisaje_geoforma</vt:lpstr>
      <vt:lpstr>Suelo_fisicoqco</vt:lpstr>
      <vt:lpstr>Disponibilidad agua sup</vt:lpstr>
      <vt:lpstr>Dinámica agua superficial</vt:lpstr>
      <vt:lpstr>Coberturas_vegetales</vt:lpstr>
      <vt:lpstr>Modificacion_habitat</vt:lpstr>
      <vt:lpstr>Habitats_acuaticos</vt:lpstr>
      <vt:lpstr>Corredores_acuaticos</vt:lpstr>
      <vt:lpstr>Alteracion_recreacion</vt:lpstr>
      <vt:lpstr>TRCM</vt:lpstr>
      <vt:lpstr>Datos_base</vt:lpstr>
      <vt:lpstr>Alteración_paisaje_geoforma!_ftnref1</vt:lpstr>
      <vt:lpstr>Alteración_paisaje_geoforma!_ftnref2</vt:lpstr>
      <vt:lpstr>Alteración_paisaje_geoforma!_ftnref3</vt:lpstr>
      <vt:lpstr>Alteración_paisaje_geoforma!_ftnref4</vt:lpstr>
      <vt:lpstr>Alteración_paisaje_geoforma!_ftnref5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LUISA</dc:creator>
  <cp:lastModifiedBy>Jorge Cuartas</cp:lastModifiedBy>
  <dcterms:created xsi:type="dcterms:W3CDTF">2020-08-05T21:01:16Z</dcterms:created>
  <dcterms:modified xsi:type="dcterms:W3CDTF">2022-10-03T17:02:37Z</dcterms:modified>
</cp:coreProperties>
</file>