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JHOAN\PROYECTOS\COCORNA_lll\REQUERIMIENTOS_SEGUNDA_ENTREGA\Mateo\"/>
    </mc:Choice>
  </mc:AlternateContent>
  <xr:revisionPtr revIDLastSave="0" documentId="13_ncr:1_{30D3CACD-4EBF-470D-8E92-FCDF52DD4D87}" xr6:coauthVersionLast="47" xr6:coauthVersionMax="47" xr10:uidLastSave="{00000000-0000-0000-0000-000000000000}"/>
  <bookViews>
    <workbookView xWindow="-120" yWindow="-120" windowWidth="20730" windowHeight="11160" tabRatio="655" activeTab="7" xr2:uid="{00000000-000D-0000-FFFF-FFFF00000000}"/>
  </bookViews>
  <sheets>
    <sheet name="in situ" sheetId="1" r:id="rId1"/>
    <sheet name="Ec_OD" sheetId="4" r:id="rId2"/>
    <sheet name="Hoja2" sheetId="3" r:id="rId3"/>
    <sheet name="solidos" sheetId="6" r:id="rId4"/>
    <sheet name="DBO_DQO" sheetId="8" r:id="rId5"/>
    <sheet name="Coliformes" sheetId="9" r:id="rId6"/>
    <sheet name="ICA" sheetId="10" r:id="rId7"/>
    <sheet name="ICO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1" l="1"/>
  <c r="J44" i="11"/>
  <c r="J45" i="11"/>
  <c r="I32" i="11"/>
  <c r="L32" i="11" s="1"/>
  <c r="M32" i="11" s="1"/>
  <c r="J32" i="11"/>
  <c r="K32" i="11"/>
  <c r="I33" i="11"/>
  <c r="J33" i="11"/>
  <c r="K33" i="11"/>
  <c r="I34" i="11"/>
  <c r="J34" i="11"/>
  <c r="K34" i="11"/>
  <c r="I21" i="11"/>
  <c r="J21" i="11"/>
  <c r="L21" i="11" s="1"/>
  <c r="M21" i="11" s="1"/>
  <c r="K21" i="11"/>
  <c r="I22" i="11"/>
  <c r="L22" i="11" s="1"/>
  <c r="M22" i="11" s="1"/>
  <c r="J22" i="11"/>
  <c r="K22" i="11"/>
  <c r="I23" i="11"/>
  <c r="J23" i="11"/>
  <c r="K23" i="11"/>
  <c r="L23" i="11"/>
  <c r="M23" i="11" s="1"/>
  <c r="I11" i="11"/>
  <c r="J11" i="11" s="1"/>
  <c r="I10" i="11"/>
  <c r="J10" i="11"/>
  <c r="I9" i="11"/>
  <c r="J9" i="11" s="1"/>
  <c r="K8" i="10"/>
  <c r="P9" i="10"/>
  <c r="P10" i="10"/>
  <c r="I8" i="10"/>
  <c r="J8" i="10"/>
  <c r="L8" i="10"/>
  <c r="O8" i="10" s="1"/>
  <c r="P8" i="10" s="1"/>
  <c r="M8" i="10"/>
  <c r="N8" i="10"/>
  <c r="I9" i="10"/>
  <c r="J9" i="10"/>
  <c r="K9" i="10"/>
  <c r="L9" i="10"/>
  <c r="M9" i="10"/>
  <c r="N9" i="10"/>
  <c r="I10" i="10"/>
  <c r="J10" i="10"/>
  <c r="K10" i="10"/>
  <c r="L10" i="10"/>
  <c r="O10" i="10" s="1"/>
  <c r="M10" i="10"/>
  <c r="N10" i="10"/>
  <c r="K27" i="11"/>
  <c r="K28" i="11"/>
  <c r="K29" i="11"/>
  <c r="K30" i="11"/>
  <c r="K31" i="11"/>
  <c r="K26" i="11"/>
  <c r="L33" i="11" l="1"/>
  <c r="M33" i="11" s="1"/>
  <c r="L34" i="11"/>
  <c r="M34" i="11" s="1"/>
  <c r="O9" i="10"/>
  <c r="I27" i="11"/>
  <c r="I8" i="11"/>
  <c r="J8" i="11" s="1"/>
  <c r="J38" i="11"/>
  <c r="J39" i="11"/>
  <c r="J40" i="11"/>
  <c r="J41" i="11"/>
  <c r="J42" i="11"/>
  <c r="J37" i="11"/>
  <c r="J27" i="11"/>
  <c r="I28" i="11"/>
  <c r="J28" i="11"/>
  <c r="I29" i="11"/>
  <c r="J29" i="11"/>
  <c r="I30" i="11"/>
  <c r="J30" i="11"/>
  <c r="I31" i="11"/>
  <c r="J31" i="11"/>
  <c r="J26" i="11"/>
  <c r="I26" i="11"/>
  <c r="K16" i="11"/>
  <c r="I16" i="11"/>
  <c r="J16" i="11"/>
  <c r="I17" i="11"/>
  <c r="J17" i="11"/>
  <c r="K17" i="11"/>
  <c r="I18" i="11"/>
  <c r="J18" i="11"/>
  <c r="K18" i="11"/>
  <c r="I19" i="11"/>
  <c r="J19" i="11"/>
  <c r="K19" i="11"/>
  <c r="I20" i="11"/>
  <c r="J20" i="11"/>
  <c r="K20" i="11"/>
  <c r="K15" i="11"/>
  <c r="J15" i="11"/>
  <c r="I15" i="11"/>
  <c r="I4" i="11"/>
  <c r="J4" i="11" s="1"/>
  <c r="I5" i="11"/>
  <c r="J5" i="11" s="1"/>
  <c r="I6" i="11"/>
  <c r="J6" i="11" s="1"/>
  <c r="I7" i="11"/>
  <c r="J7" i="11" s="1"/>
  <c r="I3" i="11"/>
  <c r="J3" i="11" s="1"/>
  <c r="N7" i="10"/>
  <c r="M7" i="10"/>
  <c r="L7" i="10"/>
  <c r="K7" i="10"/>
  <c r="J7" i="10"/>
  <c r="I7" i="10"/>
  <c r="N6" i="10"/>
  <c r="M6" i="10"/>
  <c r="L6" i="10"/>
  <c r="K6" i="10"/>
  <c r="J6" i="10"/>
  <c r="I6" i="10"/>
  <c r="N5" i="10"/>
  <c r="M5" i="10"/>
  <c r="L5" i="10"/>
  <c r="K5" i="10"/>
  <c r="J5" i="10"/>
  <c r="I5" i="10"/>
  <c r="N4" i="10"/>
  <c r="M4" i="10"/>
  <c r="L4" i="10"/>
  <c r="K4" i="10"/>
  <c r="J4" i="10"/>
  <c r="I4" i="10"/>
  <c r="N3" i="10"/>
  <c r="M3" i="10"/>
  <c r="L3" i="10"/>
  <c r="K3" i="10"/>
  <c r="J3" i="10"/>
  <c r="I3" i="10"/>
  <c r="N2" i="10"/>
  <c r="M2" i="10"/>
  <c r="L2" i="10"/>
  <c r="K2" i="10"/>
  <c r="J2" i="10"/>
  <c r="I2" i="10"/>
  <c r="L30" i="11" l="1"/>
  <c r="M30" i="11" s="1"/>
  <c r="L28" i="11"/>
  <c r="M28" i="11" s="1"/>
  <c r="L29" i="11"/>
  <c r="M29" i="11" s="1"/>
  <c r="O7" i="10"/>
  <c r="P7" i="10" s="1"/>
  <c r="L19" i="11"/>
  <c r="M19" i="11" s="1"/>
  <c r="L27" i="11"/>
  <c r="M27" i="11" s="1"/>
  <c r="L20" i="11"/>
  <c r="M20" i="11" s="1"/>
  <c r="L17" i="11"/>
  <c r="M17" i="11" s="1"/>
  <c r="L31" i="11"/>
  <c r="M31" i="11" s="1"/>
  <c r="L18" i="11"/>
  <c r="M18" i="11" s="1"/>
  <c r="L26" i="11"/>
  <c r="M26" i="11" s="1"/>
  <c r="L16" i="11"/>
  <c r="M16" i="11" s="1"/>
  <c r="L15" i="11"/>
  <c r="M15" i="11" s="1"/>
  <c r="O4" i="10"/>
  <c r="P4" i="10" s="1"/>
  <c r="O3" i="10"/>
  <c r="P3" i="10" s="1"/>
  <c r="O6" i="10"/>
  <c r="P6" i="10" s="1"/>
  <c r="O2" i="10"/>
  <c r="P2" i="10" s="1"/>
  <c r="O5" i="10"/>
  <c r="P5" i="10" s="1"/>
  <c r="J3" i="4" l="1"/>
  <c r="J4" i="4"/>
  <c r="H3" i="4"/>
  <c r="H4" i="4"/>
  <c r="J2" i="4"/>
  <c r="H2" i="4"/>
  <c r="K3" i="4" l="1"/>
  <c r="M3" i="4" s="1"/>
  <c r="K4" i="4"/>
  <c r="M4" i="4" s="1"/>
  <c r="K2" i="4"/>
  <c r="M2" i="4" s="1"/>
</calcChain>
</file>

<file path=xl/sharedStrings.xml><?xml version="1.0" encoding="utf-8"?>
<sst xmlns="http://schemas.openxmlformats.org/spreadsheetml/2006/main" count="274" uniqueCount="116">
  <si>
    <t>Punto de muestreo</t>
  </si>
  <si>
    <t>pH (Und pH)</t>
  </si>
  <si>
    <t>SGS</t>
  </si>
  <si>
    <t>ANALTEC</t>
  </si>
  <si>
    <t>Temperatura (°C)</t>
  </si>
  <si>
    <r>
      <t>Conductividad (</t>
    </r>
    <r>
      <rPr>
        <sz val="11"/>
        <color theme="1"/>
        <rFont val="Calibri"/>
        <family val="2"/>
      </rPr>
      <t>µS/cm)</t>
    </r>
  </si>
  <si>
    <t>Saturación de Oxígeno (%)</t>
  </si>
  <si>
    <t>Oxígeno Disuelto (mg/L)</t>
  </si>
  <si>
    <t xml:space="preserve">Captación </t>
  </si>
  <si>
    <t>Intermedio</t>
  </si>
  <si>
    <t>Descarga</t>
  </si>
  <si>
    <t>%O2</t>
  </si>
  <si>
    <t>PARAMETROS</t>
  </si>
  <si>
    <t>Captación</t>
  </si>
  <si>
    <t>Turbiedad (NTU)</t>
  </si>
  <si>
    <t>&lt;14.7</t>
  </si>
  <si>
    <t>Sólidos Disueltos Totales (mg SDT/L)</t>
  </si>
  <si>
    <t>Sólidos Sedimentables (mL/L)</t>
  </si>
  <si>
    <t>Sólidos Suspendidos Totales (mg SST/L)</t>
  </si>
  <si>
    <t>Sólidos Suspendidos Volátiles
(mg SSV/L)</t>
  </si>
  <si>
    <t>DBO5 (mg O2/L)</t>
  </si>
  <si>
    <t>DQO (mg O2/L)</t>
  </si>
  <si>
    <t>Nitrógeno Amoniacal (mg N-NH3/L)</t>
  </si>
  <si>
    <t>Nitrógeno Total (mg N/L)</t>
  </si>
  <si>
    <t>Nitrógeno Total Kjeldahl (mg N/L)</t>
  </si>
  <si>
    <t>Nitratos (mg NO3/L)</t>
  </si>
  <si>
    <t>Nitritos (mg NO2/L)</t>
  </si>
  <si>
    <t>Fósforo Total (mg/L)</t>
  </si>
  <si>
    <t>Coliformes Totales (NMP/100 mL)</t>
  </si>
  <si>
    <t>altura msnm</t>
  </si>
  <si>
    <t>coef</t>
  </si>
  <si>
    <t>temp</t>
  </si>
  <si>
    <t xml:space="preserve">OD </t>
  </si>
  <si>
    <t>Coliformes fecales (NMP/100 mL)</t>
  </si>
  <si>
    <t>Factor Corrección</t>
  </si>
  <si>
    <t>Temperatura Agua (°C)</t>
  </si>
  <si>
    <t>Altura (msnm)</t>
  </si>
  <si>
    <t>ODsat_T (mg/L)</t>
  </si>
  <si>
    <t>OD_medido (mg/L)</t>
  </si>
  <si>
    <t>ODsat_T_h (mg/L)</t>
  </si>
  <si>
    <t>intermedio</t>
  </si>
  <si>
    <t>descarga</t>
  </si>
  <si>
    <t>&lt;0.1</t>
  </si>
  <si>
    <t>&lt;1.022</t>
  </si>
  <si>
    <t>&lt;5.31</t>
  </si>
  <si>
    <t>&lt;0.05</t>
  </si>
  <si>
    <t xml:space="preserve"> </t>
  </si>
  <si>
    <t xml:space="preserve">    </t>
  </si>
  <si>
    <t>SDT</t>
  </si>
  <si>
    <t>SSed (mL/L)</t>
  </si>
  <si>
    <t>SST</t>
  </si>
  <si>
    <t>SSV</t>
  </si>
  <si>
    <t>Turbiedad</t>
  </si>
  <si>
    <t>Monitoreo 2018</t>
  </si>
  <si>
    <t>Monitoreo 2015</t>
  </si>
  <si>
    <t>DQO</t>
  </si>
  <si>
    <t>DBO5</t>
  </si>
  <si>
    <t>Coliformes Totales</t>
  </si>
  <si>
    <t>Coliformes Fecales</t>
  </si>
  <si>
    <t>Límite CT uso recreativo</t>
  </si>
  <si>
    <t>Límite CF uso recreativo</t>
  </si>
  <si>
    <t>Límite uso recreativo</t>
  </si>
  <si>
    <t>OD</t>
  </si>
  <si>
    <t>pH - Vida Acuática</t>
  </si>
  <si>
    <t>OD - Vida Acuática II</t>
  </si>
  <si>
    <t>OD - Vida Acuática I</t>
  </si>
  <si>
    <t>&lt;</t>
  </si>
  <si>
    <t>Captación 2015</t>
  </si>
  <si>
    <t xml:space="preserve">Intermedio 2015 </t>
  </si>
  <si>
    <t>Descarga 2015</t>
  </si>
  <si>
    <t>Captación 2018</t>
  </si>
  <si>
    <t xml:space="preserve">Intermedio 2018 </t>
  </si>
  <si>
    <t>Descarga 2018</t>
  </si>
  <si>
    <t>Sitio</t>
  </si>
  <si>
    <t>DBO5 (mgO2/L)</t>
  </si>
  <si>
    <t>SST  (mg/L)</t>
  </si>
  <si>
    <t>E. Coli (NMP/100mL)</t>
  </si>
  <si>
    <t>pH</t>
  </si>
  <si>
    <t>C.E. (μS/cm)</t>
  </si>
  <si>
    <t>% Sat.</t>
  </si>
  <si>
    <t>lDBO5</t>
  </si>
  <si>
    <t>lsst</t>
  </si>
  <si>
    <t>Icond (C.E.)</t>
  </si>
  <si>
    <t>I%sat</t>
  </si>
  <si>
    <t>ICA</t>
  </si>
  <si>
    <r>
      <t>Ip</t>
    </r>
    <r>
      <rPr>
        <b/>
        <vertAlign val="subscript"/>
        <sz val="10"/>
        <rFont val="Arial"/>
        <family val="2"/>
      </rPr>
      <t>H</t>
    </r>
  </si>
  <si>
    <r>
      <t xml:space="preserve">I </t>
    </r>
    <r>
      <rPr>
        <b/>
        <vertAlign val="subscript"/>
        <sz val="10"/>
        <rFont val="Arial"/>
        <family val="2"/>
      </rPr>
      <t>Ecoli</t>
    </r>
  </si>
  <si>
    <t>ESTACIÓN</t>
  </si>
  <si>
    <t>ICOSUS</t>
  </si>
  <si>
    <t>P1 Captación</t>
  </si>
  <si>
    <t>P2 Tramo medio</t>
  </si>
  <si>
    <t>P3 Descarga</t>
  </si>
  <si>
    <t>Idureza</t>
  </si>
  <si>
    <t>ICOMI</t>
  </si>
  <si>
    <r>
      <t>I</t>
    </r>
    <r>
      <rPr>
        <b/>
        <vertAlign val="subscript"/>
        <sz val="10"/>
        <rFont val="Arial"/>
        <family val="2"/>
      </rPr>
      <t>DBO</t>
    </r>
  </si>
  <si>
    <r>
      <t>I</t>
    </r>
    <r>
      <rPr>
        <b/>
        <vertAlign val="subscript"/>
        <sz val="10"/>
        <rFont val="Arial"/>
        <family val="2"/>
      </rPr>
      <t>COL.TOT</t>
    </r>
  </si>
  <si>
    <t>ICOMO</t>
  </si>
  <si>
    <t>ICOTRO</t>
  </si>
  <si>
    <t>Alcalinidad</t>
  </si>
  <si>
    <t>Conductividad</t>
  </si>
  <si>
    <t>Dureza</t>
  </si>
  <si>
    <t>Fosforo total</t>
  </si>
  <si>
    <t>Grado de Contaminación</t>
  </si>
  <si>
    <t>*</t>
  </si>
  <si>
    <r>
      <t>I</t>
    </r>
    <r>
      <rPr>
        <b/>
        <vertAlign val="subscript"/>
        <sz val="10"/>
        <rFont val="Arial"/>
        <family val="2"/>
      </rPr>
      <t>%O2</t>
    </r>
  </si>
  <si>
    <t>Icond</t>
  </si>
  <si>
    <t>Ialca</t>
  </si>
  <si>
    <t>Punto de Monitoreo</t>
  </si>
  <si>
    <t>Captación 2022</t>
  </si>
  <si>
    <t xml:space="preserve">Intermedio 2022 </t>
  </si>
  <si>
    <t>Descarga 2022</t>
  </si>
  <si>
    <t>&lt;0.030</t>
  </si>
  <si>
    <t>&lt;0.03</t>
  </si>
  <si>
    <t>DBO</t>
  </si>
  <si>
    <t>COL.TOT</t>
  </si>
  <si>
    <t>OXÍ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</si>
</sst>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6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8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9" fontId="0" fillId="0" borderId="0" xfId="2" applyFont="1"/>
    <xf numFmtId="166" fontId="0" fillId="0" borderId="0" xfId="0" applyNumberFormat="1"/>
    <xf numFmtId="165" fontId="0" fillId="0" borderId="0" xfId="0" applyNumberFormat="1"/>
    <xf numFmtId="0" fontId="0" fillId="2" borderId="1" xfId="0" applyFill="1" applyBorder="1"/>
    <xf numFmtId="164" fontId="0" fillId="2" borderId="1" xfId="1" applyFont="1" applyFill="1" applyBorder="1"/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0" fontId="0" fillId="0" borderId="0" xfId="2" applyNumberFormat="1" applyFont="1"/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166" fontId="9" fillId="4" borderId="4" xfId="0" applyNumberFormat="1" applyFont="1" applyFill="1" applyBorder="1" applyAlignment="1">
      <alignment horizontal="center" vertical="center" wrapText="1"/>
    </xf>
    <xf numFmtId="166" fontId="9" fillId="4" borderId="5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textRotation="180" wrapText="1"/>
    </xf>
    <xf numFmtId="0" fontId="12" fillId="0" borderId="0" xfId="0" applyFont="1"/>
    <xf numFmtId="0" fontId="9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0" fillId="5" borderId="0" xfId="0" applyFont="1" applyFill="1" applyAlignment="1">
      <alignment horizontal="center"/>
    </xf>
    <xf numFmtId="0" fontId="10" fillId="5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20">
    <dxf>
      <fill>
        <patternFill>
          <bgColor rgb="FFFF0000"/>
        </patternFill>
      </fill>
    </dxf>
    <dxf>
      <font>
        <color theme="1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situ'!$B$3</c:f>
              <c:strCache>
                <c:ptCount val="1"/>
                <c:pt idx="0">
                  <c:v>Monitoreo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situ'!$B$4:$B$6</c:f>
              <c:numCache>
                <c:formatCode>General</c:formatCode>
                <c:ptCount val="3"/>
                <c:pt idx="0">
                  <c:v>7.87</c:v>
                </c:pt>
                <c:pt idx="1">
                  <c:v>7.71</c:v>
                </c:pt>
                <c:pt idx="2">
                  <c:v>7.77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F4-4E2F-AA96-0D09BD42DB9B}"/>
            </c:ext>
          </c:extLst>
        </c:ser>
        <c:ser>
          <c:idx val="1"/>
          <c:order val="1"/>
          <c:tx>
            <c:strRef>
              <c:f>'in situ'!$C$3</c:f>
              <c:strCache>
                <c:ptCount val="1"/>
                <c:pt idx="0">
                  <c:v>Monitoreo 2015</c:v>
                </c:pt>
              </c:strCache>
            </c:strRef>
          </c:tx>
          <c:spPr>
            <a:pattFill prst="lt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situ'!$C$4:$C$6</c:f>
              <c:numCache>
                <c:formatCode>General</c:formatCode>
                <c:ptCount val="3"/>
                <c:pt idx="0">
                  <c:v>6.6</c:v>
                </c:pt>
                <c:pt idx="1">
                  <c:v>6.63</c:v>
                </c:pt>
                <c:pt idx="2">
                  <c:v>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F4-4E2F-AA96-0D09BD42D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0279592"/>
        <c:axId val="340272928"/>
      </c:barChart>
      <c:scatterChart>
        <c:scatterStyle val="smoothMarker"/>
        <c:varyColors val="0"/>
        <c:ser>
          <c:idx val="2"/>
          <c:order val="2"/>
          <c:tx>
            <c:strRef>
              <c:f>'in situ'!$F$3</c:f>
              <c:strCache>
                <c:ptCount val="1"/>
                <c:pt idx="0">
                  <c:v>Límite uso recreativo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xVal>
          <c:yVal>
            <c:numRef>
              <c:f>'in situ'!$F$4:$F$6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4F4-4E2F-AA96-0D09BD42DB9B}"/>
            </c:ext>
          </c:extLst>
        </c:ser>
        <c:ser>
          <c:idx val="3"/>
          <c:order val="3"/>
          <c:tx>
            <c:strRef>
              <c:f>'in situ'!$G$3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xVal>
          <c:yVal>
            <c:numRef>
              <c:f>'in situ'!$G$4:$G$6</c:f>
              <c:numCache>
                <c:formatCode>General</c:formatCode>
                <c:ptCount val="3"/>
                <c:pt idx="0">
                  <c:v>9</c:v>
                </c:pt>
                <c:pt idx="1">
                  <c:v>9</c:v>
                </c:pt>
                <c:pt idx="2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F4-4E2F-AA96-0D09BD42D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273712"/>
        <c:axId val="340281160"/>
      </c:scatterChart>
      <c:catAx>
        <c:axId val="340279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72928"/>
        <c:crosses val="autoZero"/>
        <c:auto val="1"/>
        <c:lblAlgn val="ctr"/>
        <c:lblOffset val="100"/>
        <c:noMultiLvlLbl val="0"/>
      </c:catAx>
      <c:valAx>
        <c:axId val="340272928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pH (und pH)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79592"/>
        <c:crosses val="autoZero"/>
        <c:crossBetween val="between"/>
      </c:valAx>
      <c:valAx>
        <c:axId val="34028116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40273712"/>
        <c:crosses val="max"/>
        <c:crossBetween val="midCat"/>
      </c:valAx>
      <c:valAx>
        <c:axId val="340273712"/>
        <c:scaling>
          <c:orientation val="minMax"/>
          <c:max val="3"/>
          <c:min val="1"/>
        </c:scaling>
        <c:delete val="1"/>
        <c:axPos val="t"/>
        <c:numFmt formatCode="General" sourceLinked="1"/>
        <c:majorTickMark val="out"/>
        <c:minorTickMark val="none"/>
        <c:tickLblPos val="nextTo"/>
        <c:crossAx val="340281160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Coliformes!$B$2</c:f>
              <c:strCache>
                <c:ptCount val="1"/>
                <c:pt idx="0">
                  <c:v>Coliformes Totales</c:v>
                </c:pt>
              </c:strCache>
            </c:strRef>
          </c:tx>
          <c:spPr>
            <a:pattFill prst="dkUpDiag">
              <a:fgClr>
                <a:schemeClr val="accent6"/>
              </a:fgClr>
              <a:bgClr>
                <a:schemeClr val="bg1"/>
              </a:bgClr>
            </a:pattFill>
            <a:ln>
              <a:solidFill>
                <a:schemeClr val="accent6"/>
              </a:solidFill>
            </a:ln>
            <a:effectLst/>
          </c:spPr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Coliformes!$A$3:$A$5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Coliformes!$B$3:$B$5</c:f>
              <c:numCache>
                <c:formatCode>General</c:formatCode>
                <c:ptCount val="3"/>
                <c:pt idx="0">
                  <c:v>4844</c:v>
                </c:pt>
                <c:pt idx="1">
                  <c:v>860</c:v>
                </c:pt>
                <c:pt idx="2">
                  <c:v>129970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2-4877-8D34-CBC6742E9565}"/>
            </c:ext>
          </c:extLst>
        </c:ser>
        <c:ser>
          <c:idx val="1"/>
          <c:order val="1"/>
          <c:tx>
            <c:strRef>
              <c:f>Coliformes!$C$2</c:f>
              <c:strCache>
                <c:ptCount val="1"/>
                <c:pt idx="0">
                  <c:v>Coliformes Fecales</c:v>
                </c:pt>
              </c:strCache>
            </c:strRef>
          </c:tx>
          <c:spPr>
            <a:pattFill prst="dkUpDiag">
              <a:fgClr>
                <a:schemeClr val="accent5"/>
              </a:fgClr>
              <a:bgClr>
                <a:schemeClr val="bg1"/>
              </a:bgClr>
            </a:pattFill>
            <a:ln>
              <a:solidFill>
                <a:schemeClr val="accent5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Coliformes!$A$3:$A$5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Coliformes!$C$3:$C$5</c:f>
              <c:numCache>
                <c:formatCode>General</c:formatCode>
                <c:ptCount val="3"/>
                <c:pt idx="0">
                  <c:v>243</c:v>
                </c:pt>
                <c:pt idx="1">
                  <c:v>98</c:v>
                </c:pt>
                <c:pt idx="2">
                  <c:v>15531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82-4877-8D34-CBC6742E9565}"/>
            </c:ext>
          </c:extLst>
        </c:ser>
        <c:ser>
          <c:idx val="2"/>
          <c:order val="2"/>
          <c:tx>
            <c:strRef>
              <c:f>Coliformes!$D$2</c:f>
              <c:strCache>
                <c:ptCount val="1"/>
                <c:pt idx="0">
                  <c:v>Coliformes Totales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Coliformes!$A$3:$A$5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Coliformes!$D$3:$D$5</c:f>
              <c:numCache>
                <c:formatCode>General</c:formatCode>
                <c:ptCount val="3"/>
                <c:pt idx="0">
                  <c:v>50000</c:v>
                </c:pt>
                <c:pt idx="1">
                  <c:v>38000</c:v>
                </c:pt>
                <c:pt idx="2">
                  <c:v>81000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82-4877-8D34-CBC6742E9565}"/>
            </c:ext>
          </c:extLst>
        </c:ser>
        <c:ser>
          <c:idx val="3"/>
          <c:order val="3"/>
          <c:tx>
            <c:strRef>
              <c:f>Coliformes!$E$2</c:f>
              <c:strCache>
                <c:ptCount val="1"/>
                <c:pt idx="0">
                  <c:v>Coliformes Fecales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Coliformes!$A$3:$A$5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Coliformes!$E$3:$E$5</c:f>
              <c:numCache>
                <c:formatCode>General</c:formatCode>
                <c:ptCount val="3"/>
                <c:pt idx="0">
                  <c:v>200</c:v>
                </c:pt>
                <c:pt idx="1">
                  <c:v>400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82-4877-8D34-CBC6742E95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43302640"/>
        <c:axId val="643311264"/>
      </c:barChart>
      <c:catAx>
        <c:axId val="64330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3311264"/>
        <c:crosses val="autoZero"/>
        <c:auto val="1"/>
        <c:lblAlgn val="ctr"/>
        <c:lblOffset val="100"/>
        <c:noMultiLvlLbl val="0"/>
      </c:catAx>
      <c:valAx>
        <c:axId val="64331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/>
                  <a:t>Coliformes (NMP/100 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330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5307524059492565E-2"/>
          <c:y val="0.87557815689705432"/>
          <c:w val="0.4704960629921259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 situ'!$H$3</c:f>
              <c:strCache>
                <c:ptCount val="1"/>
                <c:pt idx="0">
                  <c:v>Monitoreo 2018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situ'!$H$4:$H$6</c:f>
              <c:numCache>
                <c:formatCode>General</c:formatCode>
                <c:ptCount val="3"/>
                <c:pt idx="0">
                  <c:v>18.899999999999999</c:v>
                </c:pt>
                <c:pt idx="1">
                  <c:v>18.7</c:v>
                </c:pt>
                <c:pt idx="2">
                  <c:v>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AF-4596-80A6-659850FEA531}"/>
            </c:ext>
          </c:extLst>
        </c:ser>
        <c:ser>
          <c:idx val="1"/>
          <c:order val="1"/>
          <c:tx>
            <c:strRef>
              <c:f>'in situ'!$I$3</c:f>
              <c:strCache>
                <c:ptCount val="1"/>
                <c:pt idx="0">
                  <c:v>Monitoreo 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situ'!$I$4:$I$6</c:f>
              <c:numCache>
                <c:formatCode>General</c:formatCode>
                <c:ptCount val="3"/>
                <c:pt idx="0">
                  <c:v>19.2</c:v>
                </c:pt>
                <c:pt idx="1">
                  <c:v>19.899999999999999</c:v>
                </c:pt>
                <c:pt idx="2">
                  <c:v>19.3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AF-4596-80A6-659850FEA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276064"/>
        <c:axId val="340277240"/>
      </c:lineChart>
      <c:catAx>
        <c:axId val="34027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77240"/>
        <c:crosses val="autoZero"/>
        <c:auto val="1"/>
        <c:lblAlgn val="ctr"/>
        <c:lblOffset val="100"/>
        <c:noMultiLvlLbl val="0"/>
      </c:catAx>
      <c:valAx>
        <c:axId val="340277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Temperatura</a:t>
                </a:r>
                <a:r>
                  <a:rPr lang="en-US" baseline="0"/>
                  <a:t> (°C)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7606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 situ'!$J$3</c:f>
              <c:strCache>
                <c:ptCount val="1"/>
                <c:pt idx="0">
                  <c:v>Monitoreo 2018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situ'!$J$4:$J$6</c:f>
              <c:numCache>
                <c:formatCode>General</c:formatCode>
                <c:ptCount val="3"/>
                <c:pt idx="0">
                  <c:v>582</c:v>
                </c:pt>
                <c:pt idx="1">
                  <c:v>258</c:v>
                </c:pt>
                <c:pt idx="2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C-4A34-A382-386F7135E99E}"/>
            </c:ext>
          </c:extLst>
        </c:ser>
        <c:ser>
          <c:idx val="1"/>
          <c:order val="1"/>
          <c:tx>
            <c:strRef>
              <c:f>'in situ'!$K$3</c:f>
              <c:strCache>
                <c:ptCount val="1"/>
                <c:pt idx="0">
                  <c:v>Monitoreo 2015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situ'!$K$4:$K$6</c:f>
              <c:numCache>
                <c:formatCode>General</c:formatCode>
                <c:ptCount val="3"/>
                <c:pt idx="0">
                  <c:v>19</c:v>
                </c:pt>
                <c:pt idx="1">
                  <c:v>45</c:v>
                </c:pt>
                <c:pt idx="2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EC-4A34-A382-386F7135E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283120"/>
        <c:axId val="340284296"/>
      </c:lineChart>
      <c:catAx>
        <c:axId val="34028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84296"/>
        <c:crosses val="autoZero"/>
        <c:auto val="1"/>
        <c:lblAlgn val="ctr"/>
        <c:lblOffset val="100"/>
        <c:noMultiLvlLbl val="0"/>
      </c:catAx>
      <c:valAx>
        <c:axId val="34028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Conductividad (µS/cm)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4028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15027777777778"/>
          <c:y val="4.8506944444444443E-2"/>
          <c:w val="0.71422055555555553"/>
          <c:h val="0.71579999999999999"/>
        </c:manualLayout>
      </c:layout>
      <c:lineChart>
        <c:grouping val="standard"/>
        <c:varyColors val="0"/>
        <c:ser>
          <c:idx val="0"/>
          <c:order val="0"/>
          <c:tx>
            <c:strRef>
              <c:f>'in situ'!$L$3</c:f>
              <c:strCache>
                <c:ptCount val="1"/>
                <c:pt idx="0">
                  <c:v>Monitoreo 2018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situ'!$L$4:$L$6</c:f>
              <c:numCache>
                <c:formatCode>General</c:formatCode>
                <c:ptCount val="3"/>
                <c:pt idx="0">
                  <c:v>7.91</c:v>
                </c:pt>
                <c:pt idx="1">
                  <c:v>8.2200000000000006</c:v>
                </c:pt>
                <c:pt idx="2">
                  <c:v>7.63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4A-4327-A52B-96D372727D5A}"/>
            </c:ext>
          </c:extLst>
        </c:ser>
        <c:ser>
          <c:idx val="1"/>
          <c:order val="1"/>
          <c:tx>
            <c:strRef>
              <c:f>'in situ'!$M$3</c:f>
              <c:strCache>
                <c:ptCount val="1"/>
                <c:pt idx="0">
                  <c:v>Monitoreo 2015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situ'!$M$4:$M$6</c:f>
              <c:numCache>
                <c:formatCode>General</c:formatCode>
                <c:ptCount val="3"/>
                <c:pt idx="0">
                  <c:v>6.84</c:v>
                </c:pt>
                <c:pt idx="1">
                  <c:v>6.48</c:v>
                </c:pt>
                <c:pt idx="2">
                  <c:v>7.59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4A-4327-A52B-96D372727D5A}"/>
            </c:ext>
          </c:extLst>
        </c:ser>
        <c:ser>
          <c:idx val="5"/>
          <c:order val="5"/>
          <c:tx>
            <c:strRef>
              <c:f>'in situ'!$Q$3</c:f>
              <c:strCache>
                <c:ptCount val="1"/>
                <c:pt idx="0">
                  <c:v>OD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situ'!$Q$4:$Q$6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4A-4327-A52B-96D37272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312656"/>
        <c:axId val="635320104"/>
      </c:lineChart>
      <c:lineChart>
        <c:grouping val="standard"/>
        <c:varyColors val="0"/>
        <c:ser>
          <c:idx val="2"/>
          <c:order val="2"/>
          <c:tx>
            <c:strRef>
              <c:f>'in situ'!$N$3</c:f>
              <c:strCache>
                <c:ptCount val="1"/>
                <c:pt idx="0">
                  <c:v>Monitoreo 2018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situ'!$N$4:$N$6</c:f>
              <c:numCache>
                <c:formatCode>0.0</c:formatCode>
                <c:ptCount val="3"/>
                <c:pt idx="0">
                  <c:v>97.33012121443123</c:v>
                </c:pt>
                <c:pt idx="1">
                  <c:v>99.469487527724922</c:v>
                </c:pt>
                <c:pt idx="2">
                  <c:v>96.589358563357649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4A-4327-A52B-96D372727D5A}"/>
            </c:ext>
          </c:extLst>
        </c:ser>
        <c:ser>
          <c:idx val="3"/>
          <c:order val="3"/>
          <c:tx>
            <c:strRef>
              <c:f>'in situ'!$O$3</c:f>
              <c:strCache>
                <c:ptCount val="1"/>
                <c:pt idx="0">
                  <c:v>Monitoreo 2015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situ'!$O$4:$O$6</c:f>
              <c:numCache>
                <c:formatCode>General</c:formatCode>
                <c:ptCount val="3"/>
                <c:pt idx="0">
                  <c:v>78.3</c:v>
                </c:pt>
                <c:pt idx="1">
                  <c:v>79.5</c:v>
                </c:pt>
                <c:pt idx="2">
                  <c:v>81.400000000000006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4A-4327-A52B-96D372727D5A}"/>
            </c:ext>
          </c:extLst>
        </c:ser>
        <c:ser>
          <c:idx val="4"/>
          <c:order val="4"/>
          <c:tx>
            <c:strRef>
              <c:f>'in situ'!$P$3</c:f>
              <c:strCache>
                <c:ptCount val="1"/>
                <c:pt idx="0">
                  <c:v>%O2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'in situ'!$A$4:$A$6</c:f>
              <c:strCache>
                <c:ptCount val="3"/>
                <c:pt idx="0">
                  <c:v>Captación 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'in situ'!$P$4:$P$6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C4A-4327-A52B-96D37272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322064"/>
        <c:axId val="635311480"/>
      </c:lineChart>
      <c:catAx>
        <c:axId val="63531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0104"/>
        <c:crosses val="autoZero"/>
        <c:auto val="1"/>
        <c:lblAlgn val="ctr"/>
        <c:lblOffset val="100"/>
        <c:noMultiLvlLbl val="0"/>
      </c:catAx>
      <c:valAx>
        <c:axId val="635320104"/>
        <c:scaling>
          <c:orientation val="minMax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Oxígeno Disuelto - OD</a:t>
                </a:r>
                <a:r>
                  <a:rPr lang="en-US" baseline="0"/>
                  <a:t> </a:t>
                </a:r>
                <a:r>
                  <a:rPr lang="en-US"/>
                  <a:t>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12656"/>
        <c:crosses val="autoZero"/>
        <c:crossBetween val="between"/>
      </c:valAx>
      <c:valAx>
        <c:axId val="635311480"/>
        <c:scaling>
          <c:orientation val="minMax"/>
          <c:max val="100"/>
          <c:min val="7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Saturación de Oxígeno - %O2 (%)</a:t>
                </a:r>
              </a:p>
            </c:rich>
          </c:tx>
          <c:layout>
            <c:manualLayout>
              <c:xMode val="edge"/>
              <c:yMode val="edge"/>
              <c:x val="0.92932083333333337"/>
              <c:y val="0.114449999999999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2064"/>
        <c:crosses val="max"/>
        <c:crossBetween val="between"/>
      </c:valAx>
      <c:catAx>
        <c:axId val="635322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5311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7.4083333333333334E-2"/>
          <c:y val="0.8533756944444445"/>
          <c:w val="0.83419444444444446"/>
          <c:h val="0.133395138888888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Ec_OD!$B$1</c:f>
              <c:strCache>
                <c:ptCount val="1"/>
                <c:pt idx="0">
                  <c:v>coef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5072287839020122"/>
                  <c:y val="8.60043015456401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Ec_OD!$A$2:$A$88</c:f>
              <c:numCache>
                <c:formatCode>0</c:formatCode>
                <c:ptCount val="87"/>
                <c:pt idx="0">
                  <c:v>2170</c:v>
                </c:pt>
                <c:pt idx="1">
                  <c:v>2151</c:v>
                </c:pt>
                <c:pt idx="2" formatCode="General">
                  <c:v>2181</c:v>
                </c:pt>
                <c:pt idx="3" formatCode="General">
                  <c:v>2149</c:v>
                </c:pt>
                <c:pt idx="4" formatCode="General">
                  <c:v>2092</c:v>
                </c:pt>
                <c:pt idx="5" formatCode="General">
                  <c:v>2040</c:v>
                </c:pt>
                <c:pt idx="6" formatCode="General">
                  <c:v>1071.5</c:v>
                </c:pt>
                <c:pt idx="7" formatCode="General">
                  <c:v>1088.8</c:v>
                </c:pt>
                <c:pt idx="8" formatCode="General">
                  <c:v>2139</c:v>
                </c:pt>
                <c:pt idx="9" formatCode="General">
                  <c:v>2125</c:v>
                </c:pt>
                <c:pt idx="10" formatCode="General">
                  <c:v>2125</c:v>
                </c:pt>
                <c:pt idx="11" formatCode="General">
                  <c:v>2152</c:v>
                </c:pt>
                <c:pt idx="12">
                  <c:v>2052</c:v>
                </c:pt>
                <c:pt idx="13" formatCode="General">
                  <c:v>2193</c:v>
                </c:pt>
                <c:pt idx="14" formatCode="General">
                  <c:v>2112</c:v>
                </c:pt>
                <c:pt idx="15" formatCode="General">
                  <c:v>2043</c:v>
                </c:pt>
                <c:pt idx="16">
                  <c:v>2115</c:v>
                </c:pt>
                <c:pt idx="17" formatCode="General">
                  <c:v>2016</c:v>
                </c:pt>
                <c:pt idx="18" formatCode="General">
                  <c:v>1643</c:v>
                </c:pt>
                <c:pt idx="19" formatCode="General">
                  <c:v>1628</c:v>
                </c:pt>
                <c:pt idx="20" formatCode="General">
                  <c:v>1873</c:v>
                </c:pt>
                <c:pt idx="21" formatCode="General">
                  <c:v>1832</c:v>
                </c:pt>
                <c:pt idx="22" formatCode="General">
                  <c:v>996</c:v>
                </c:pt>
                <c:pt idx="23" formatCode="General">
                  <c:v>997</c:v>
                </c:pt>
                <c:pt idx="24" formatCode="General">
                  <c:v>1005</c:v>
                </c:pt>
                <c:pt idx="25" formatCode="General">
                  <c:v>1012</c:v>
                </c:pt>
                <c:pt idx="26" formatCode="General">
                  <c:v>1040</c:v>
                </c:pt>
                <c:pt idx="27" formatCode="General">
                  <c:v>1012</c:v>
                </c:pt>
                <c:pt idx="28" formatCode="General">
                  <c:v>1433</c:v>
                </c:pt>
                <c:pt idx="29" formatCode="General">
                  <c:v>1427</c:v>
                </c:pt>
                <c:pt idx="30" formatCode="General">
                  <c:v>1061</c:v>
                </c:pt>
                <c:pt idx="31" formatCode="General">
                  <c:v>1049</c:v>
                </c:pt>
                <c:pt idx="32" formatCode="General">
                  <c:v>1061</c:v>
                </c:pt>
                <c:pt idx="33" formatCode="General">
                  <c:v>1049</c:v>
                </c:pt>
                <c:pt idx="34" formatCode="General">
                  <c:v>2569</c:v>
                </c:pt>
                <c:pt idx="35" formatCode="General">
                  <c:v>2431</c:v>
                </c:pt>
                <c:pt idx="36" formatCode="General">
                  <c:v>2608</c:v>
                </c:pt>
                <c:pt idx="37" formatCode="General">
                  <c:v>2446</c:v>
                </c:pt>
                <c:pt idx="38" formatCode="General">
                  <c:v>2597</c:v>
                </c:pt>
                <c:pt idx="39" formatCode="General">
                  <c:v>2464</c:v>
                </c:pt>
                <c:pt idx="40" formatCode="General">
                  <c:v>2595</c:v>
                </c:pt>
                <c:pt idx="41" formatCode="General">
                  <c:v>2465</c:v>
                </c:pt>
                <c:pt idx="42" formatCode="General">
                  <c:v>2641</c:v>
                </c:pt>
                <c:pt idx="43" formatCode="General">
                  <c:v>2350</c:v>
                </c:pt>
                <c:pt idx="44" formatCode="General">
                  <c:v>2482</c:v>
                </c:pt>
                <c:pt idx="45" formatCode="General">
                  <c:v>2473</c:v>
                </c:pt>
                <c:pt idx="46" formatCode="General">
                  <c:v>2154</c:v>
                </c:pt>
                <c:pt idx="47" formatCode="General">
                  <c:v>2147</c:v>
                </c:pt>
                <c:pt idx="48" formatCode="General">
                  <c:v>2166</c:v>
                </c:pt>
                <c:pt idx="49" formatCode="General">
                  <c:v>254</c:v>
                </c:pt>
                <c:pt idx="50" formatCode="General">
                  <c:v>255</c:v>
                </c:pt>
                <c:pt idx="51" formatCode="General">
                  <c:v>262</c:v>
                </c:pt>
                <c:pt idx="52" formatCode="General">
                  <c:v>254</c:v>
                </c:pt>
                <c:pt idx="53" formatCode="General">
                  <c:v>310</c:v>
                </c:pt>
                <c:pt idx="54" formatCode="General">
                  <c:v>297</c:v>
                </c:pt>
                <c:pt idx="55" formatCode="General">
                  <c:v>392</c:v>
                </c:pt>
                <c:pt idx="56" formatCode="General">
                  <c:v>349</c:v>
                </c:pt>
                <c:pt idx="57" formatCode="General">
                  <c:v>986</c:v>
                </c:pt>
                <c:pt idx="58" formatCode="General">
                  <c:v>979</c:v>
                </c:pt>
                <c:pt idx="59" formatCode="General">
                  <c:v>1595</c:v>
                </c:pt>
                <c:pt idx="60" formatCode="General">
                  <c:v>1551</c:v>
                </c:pt>
                <c:pt idx="61" formatCode="General">
                  <c:v>1718</c:v>
                </c:pt>
                <c:pt idx="62" formatCode="General">
                  <c:v>1647</c:v>
                </c:pt>
                <c:pt idx="63" formatCode="General">
                  <c:v>1707</c:v>
                </c:pt>
                <c:pt idx="64" formatCode="General">
                  <c:v>1162</c:v>
                </c:pt>
                <c:pt idx="65" formatCode="General">
                  <c:v>1855</c:v>
                </c:pt>
                <c:pt idx="66" formatCode="General">
                  <c:v>1712</c:v>
                </c:pt>
                <c:pt idx="67" formatCode="General">
                  <c:v>1846</c:v>
                </c:pt>
                <c:pt idx="68" formatCode="General">
                  <c:v>1638</c:v>
                </c:pt>
                <c:pt idx="69" formatCode="General">
                  <c:v>2090</c:v>
                </c:pt>
                <c:pt idx="70" formatCode="General">
                  <c:v>2109</c:v>
                </c:pt>
                <c:pt idx="71" formatCode="General">
                  <c:v>2091</c:v>
                </c:pt>
                <c:pt idx="72" formatCode="General">
                  <c:v>1217</c:v>
                </c:pt>
                <c:pt idx="73" formatCode="General">
                  <c:v>1223</c:v>
                </c:pt>
                <c:pt idx="74" formatCode="General">
                  <c:v>2185</c:v>
                </c:pt>
                <c:pt idx="75" formatCode="General">
                  <c:v>1129</c:v>
                </c:pt>
                <c:pt idx="76" formatCode="General">
                  <c:v>1326</c:v>
                </c:pt>
                <c:pt idx="77" formatCode="General">
                  <c:v>1191</c:v>
                </c:pt>
                <c:pt idx="78" formatCode="General">
                  <c:v>1290</c:v>
                </c:pt>
                <c:pt idx="79" formatCode="General">
                  <c:v>1232</c:v>
                </c:pt>
                <c:pt idx="80" formatCode="General">
                  <c:v>1000</c:v>
                </c:pt>
                <c:pt idx="81" formatCode="General">
                  <c:v>992</c:v>
                </c:pt>
                <c:pt idx="82" formatCode="General">
                  <c:v>829</c:v>
                </c:pt>
                <c:pt idx="83" formatCode="General">
                  <c:v>836</c:v>
                </c:pt>
                <c:pt idx="84" formatCode="General">
                  <c:v>819</c:v>
                </c:pt>
                <c:pt idx="85" formatCode="General">
                  <c:v>814</c:v>
                </c:pt>
                <c:pt idx="86" formatCode="General">
                  <c:v>809</c:v>
                </c:pt>
              </c:numCache>
            </c:numRef>
          </c:xVal>
          <c:yVal>
            <c:numRef>
              <c:f>Ec_OD!$B$2:$B$88</c:f>
              <c:numCache>
                <c:formatCode>0.00</c:formatCode>
                <c:ptCount val="87"/>
                <c:pt idx="0">
                  <c:v>0.76</c:v>
                </c:pt>
                <c:pt idx="1">
                  <c:v>0.76</c:v>
                </c:pt>
                <c:pt idx="2">
                  <c:v>0.76</c:v>
                </c:pt>
                <c:pt idx="3">
                  <c:v>0.76</c:v>
                </c:pt>
                <c:pt idx="4">
                  <c:v>0.78</c:v>
                </c:pt>
                <c:pt idx="5">
                  <c:v>0.78</c:v>
                </c:pt>
                <c:pt idx="6">
                  <c:v>0.88</c:v>
                </c:pt>
                <c:pt idx="7">
                  <c:v>0.88</c:v>
                </c:pt>
                <c:pt idx="8">
                  <c:v>0.78</c:v>
                </c:pt>
                <c:pt idx="9">
                  <c:v>0.78</c:v>
                </c:pt>
                <c:pt idx="10">
                  <c:v>0.78</c:v>
                </c:pt>
                <c:pt idx="11">
                  <c:v>0.78</c:v>
                </c:pt>
                <c:pt idx="12">
                  <c:v>0.78</c:v>
                </c:pt>
                <c:pt idx="13">
                  <c:v>0.76</c:v>
                </c:pt>
                <c:pt idx="14">
                  <c:v>0.78</c:v>
                </c:pt>
                <c:pt idx="15">
                  <c:v>0.78</c:v>
                </c:pt>
                <c:pt idx="16">
                  <c:v>0.78</c:v>
                </c:pt>
                <c:pt idx="17">
                  <c:v>0.78</c:v>
                </c:pt>
                <c:pt idx="18">
                  <c:v>0.82</c:v>
                </c:pt>
                <c:pt idx="19">
                  <c:v>0.82</c:v>
                </c:pt>
                <c:pt idx="20">
                  <c:v>0.8</c:v>
                </c:pt>
                <c:pt idx="21">
                  <c:v>0.8</c:v>
                </c:pt>
                <c:pt idx="22">
                  <c:v>0.88</c:v>
                </c:pt>
                <c:pt idx="23">
                  <c:v>0.88</c:v>
                </c:pt>
                <c:pt idx="24">
                  <c:v>0.88</c:v>
                </c:pt>
                <c:pt idx="25">
                  <c:v>0.88</c:v>
                </c:pt>
                <c:pt idx="26">
                  <c:v>0.88</c:v>
                </c:pt>
                <c:pt idx="27">
                  <c:v>0.88</c:v>
                </c:pt>
                <c:pt idx="28">
                  <c:v>0.84</c:v>
                </c:pt>
                <c:pt idx="29">
                  <c:v>0.84</c:v>
                </c:pt>
                <c:pt idx="30">
                  <c:v>0.88</c:v>
                </c:pt>
                <c:pt idx="31">
                  <c:v>0.88</c:v>
                </c:pt>
                <c:pt idx="32">
                  <c:v>0.88</c:v>
                </c:pt>
                <c:pt idx="33">
                  <c:v>0.88</c:v>
                </c:pt>
                <c:pt idx="34">
                  <c:v>0.74</c:v>
                </c:pt>
                <c:pt idx="35">
                  <c:v>0.74</c:v>
                </c:pt>
                <c:pt idx="36">
                  <c:v>0.74</c:v>
                </c:pt>
                <c:pt idx="37">
                  <c:v>0.74</c:v>
                </c:pt>
                <c:pt idx="38">
                  <c:v>0.74</c:v>
                </c:pt>
                <c:pt idx="39">
                  <c:v>0.74</c:v>
                </c:pt>
                <c:pt idx="40">
                  <c:v>0.74</c:v>
                </c:pt>
                <c:pt idx="41">
                  <c:v>0.74</c:v>
                </c:pt>
                <c:pt idx="42">
                  <c:v>0.72</c:v>
                </c:pt>
                <c:pt idx="43">
                  <c:v>0.76</c:v>
                </c:pt>
                <c:pt idx="44">
                  <c:v>0.74</c:v>
                </c:pt>
                <c:pt idx="45">
                  <c:v>0.74</c:v>
                </c:pt>
                <c:pt idx="46">
                  <c:v>0.78</c:v>
                </c:pt>
                <c:pt idx="47">
                  <c:v>0.78</c:v>
                </c:pt>
                <c:pt idx="48">
                  <c:v>0.76</c:v>
                </c:pt>
                <c:pt idx="49">
                  <c:v>0.96</c:v>
                </c:pt>
                <c:pt idx="50">
                  <c:v>0.96</c:v>
                </c:pt>
                <c:pt idx="51">
                  <c:v>0.96</c:v>
                </c:pt>
                <c:pt idx="52">
                  <c:v>0.96</c:v>
                </c:pt>
                <c:pt idx="53">
                  <c:v>0.96</c:v>
                </c:pt>
                <c:pt idx="54">
                  <c:v>0.96</c:v>
                </c:pt>
                <c:pt idx="55">
                  <c:v>0.96</c:v>
                </c:pt>
                <c:pt idx="56">
                  <c:v>0.96</c:v>
                </c:pt>
                <c:pt idx="57">
                  <c:v>0.88</c:v>
                </c:pt>
                <c:pt idx="58">
                  <c:v>0.88</c:v>
                </c:pt>
                <c:pt idx="59">
                  <c:v>0.82</c:v>
                </c:pt>
                <c:pt idx="60">
                  <c:v>0.82</c:v>
                </c:pt>
                <c:pt idx="61">
                  <c:v>0.82</c:v>
                </c:pt>
                <c:pt idx="62">
                  <c:v>0.82</c:v>
                </c:pt>
                <c:pt idx="63">
                  <c:v>0.82</c:v>
                </c:pt>
                <c:pt idx="64">
                  <c:v>0.88</c:v>
                </c:pt>
                <c:pt idx="65">
                  <c:v>0.8</c:v>
                </c:pt>
                <c:pt idx="66">
                  <c:v>0.82</c:v>
                </c:pt>
                <c:pt idx="67">
                  <c:v>0.8</c:v>
                </c:pt>
                <c:pt idx="68">
                  <c:v>0.82</c:v>
                </c:pt>
                <c:pt idx="69">
                  <c:v>0.78</c:v>
                </c:pt>
                <c:pt idx="70">
                  <c:v>0.78</c:v>
                </c:pt>
                <c:pt idx="71">
                  <c:v>0.78</c:v>
                </c:pt>
                <c:pt idx="72">
                  <c:v>0.86</c:v>
                </c:pt>
                <c:pt idx="73">
                  <c:v>0.86</c:v>
                </c:pt>
                <c:pt idx="74">
                  <c:v>0.76</c:v>
                </c:pt>
                <c:pt idx="75">
                  <c:v>0.88</c:v>
                </c:pt>
                <c:pt idx="76">
                  <c:v>0.86</c:v>
                </c:pt>
                <c:pt idx="77">
                  <c:v>0.86</c:v>
                </c:pt>
                <c:pt idx="78">
                  <c:v>0.86</c:v>
                </c:pt>
                <c:pt idx="79">
                  <c:v>0.86</c:v>
                </c:pt>
                <c:pt idx="80">
                  <c:v>0.88</c:v>
                </c:pt>
                <c:pt idx="81">
                  <c:v>0.88</c:v>
                </c:pt>
                <c:pt idx="82">
                  <c:v>0.9</c:v>
                </c:pt>
                <c:pt idx="83">
                  <c:v>0.9</c:v>
                </c:pt>
                <c:pt idx="84">
                  <c:v>0.9</c:v>
                </c:pt>
                <c:pt idx="85">
                  <c:v>0.9</c:v>
                </c:pt>
                <c:pt idx="86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A0-4B89-BA11-1F60A99FD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13440"/>
        <c:axId val="635317360"/>
      </c:scatterChart>
      <c:valAx>
        <c:axId val="635313440"/>
        <c:scaling>
          <c:orientation val="minMax"/>
          <c:max val="28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Altitud (msnm)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17360"/>
        <c:crosses val="autoZero"/>
        <c:crossBetween val="midCat"/>
      </c:valAx>
      <c:valAx>
        <c:axId val="635317360"/>
        <c:scaling>
          <c:orientation val="minMax"/>
          <c:max val="1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Factor</a:t>
                </a:r>
                <a:r>
                  <a:rPr lang="es-ES" baseline="0"/>
                  <a:t> 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13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Ec_OD!$D$1</c:f>
              <c:strCache>
                <c:ptCount val="1"/>
                <c:pt idx="0">
                  <c:v>OD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1.5800962379702539E-2"/>
                  <c:y val="-0.417274715660542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O"/>
                </a:p>
              </c:txPr>
            </c:trendlineLbl>
          </c:trendline>
          <c:xVal>
            <c:numRef>
              <c:f>Ec_OD!$C$2:$C$88</c:f>
              <c:numCache>
                <c:formatCode>0</c:formatCode>
                <c:ptCount val="87"/>
                <c:pt idx="0" formatCode="0.0">
                  <c:v>18.95</c:v>
                </c:pt>
                <c:pt idx="1">
                  <c:v>18.899999999999999</c:v>
                </c:pt>
                <c:pt idx="2">
                  <c:v>17.3</c:v>
                </c:pt>
                <c:pt idx="3">
                  <c:v>18.05</c:v>
                </c:pt>
                <c:pt idx="4">
                  <c:v>16</c:v>
                </c:pt>
                <c:pt idx="5">
                  <c:v>17.05</c:v>
                </c:pt>
                <c:pt idx="6">
                  <c:v>27.7</c:v>
                </c:pt>
                <c:pt idx="7">
                  <c:v>27</c:v>
                </c:pt>
                <c:pt idx="8">
                  <c:v>17.8</c:v>
                </c:pt>
                <c:pt idx="9">
                  <c:v>17.899999999999999</c:v>
                </c:pt>
                <c:pt idx="10">
                  <c:v>18.899999999999999</c:v>
                </c:pt>
                <c:pt idx="11">
                  <c:v>17.55</c:v>
                </c:pt>
                <c:pt idx="12">
                  <c:v>18.75</c:v>
                </c:pt>
                <c:pt idx="13">
                  <c:v>18.3</c:v>
                </c:pt>
                <c:pt idx="14">
                  <c:v>19.5</c:v>
                </c:pt>
                <c:pt idx="15">
                  <c:v>20.399999999999999</c:v>
                </c:pt>
                <c:pt idx="16">
                  <c:v>17.5</c:v>
                </c:pt>
                <c:pt idx="17">
                  <c:v>19.5</c:v>
                </c:pt>
                <c:pt idx="18">
                  <c:v>19.399999999999999</c:v>
                </c:pt>
                <c:pt idx="19">
                  <c:v>19.600000000000001</c:v>
                </c:pt>
                <c:pt idx="20">
                  <c:v>19</c:v>
                </c:pt>
                <c:pt idx="21">
                  <c:v>20.8</c:v>
                </c:pt>
                <c:pt idx="22">
                  <c:v>22.3</c:v>
                </c:pt>
                <c:pt idx="23">
                  <c:v>23.5</c:v>
                </c:pt>
                <c:pt idx="24">
                  <c:v>22.4</c:v>
                </c:pt>
                <c:pt idx="25">
                  <c:v>24.9</c:v>
                </c:pt>
                <c:pt idx="26">
                  <c:v>21.6</c:v>
                </c:pt>
                <c:pt idx="27">
                  <c:v>23.6</c:v>
                </c:pt>
                <c:pt idx="28">
                  <c:v>18.399999999999999</c:v>
                </c:pt>
                <c:pt idx="29">
                  <c:v>18.600000000000001</c:v>
                </c:pt>
                <c:pt idx="30">
                  <c:v>23.6</c:v>
                </c:pt>
                <c:pt idx="31">
                  <c:v>24.3</c:v>
                </c:pt>
                <c:pt idx="32">
                  <c:v>27.3</c:v>
                </c:pt>
                <c:pt idx="33">
                  <c:v>27.3</c:v>
                </c:pt>
                <c:pt idx="34">
                  <c:v>17.2</c:v>
                </c:pt>
                <c:pt idx="35">
                  <c:v>20.100000000000001</c:v>
                </c:pt>
                <c:pt idx="36">
                  <c:v>17</c:v>
                </c:pt>
                <c:pt idx="37">
                  <c:v>18.5</c:v>
                </c:pt>
                <c:pt idx="38">
                  <c:v>22.7</c:v>
                </c:pt>
                <c:pt idx="39">
                  <c:v>18.899999999999999</c:v>
                </c:pt>
                <c:pt idx="40">
                  <c:v>19.3</c:v>
                </c:pt>
                <c:pt idx="41">
                  <c:v>19.7</c:v>
                </c:pt>
                <c:pt idx="42">
                  <c:v>16.100000000000001</c:v>
                </c:pt>
                <c:pt idx="43">
                  <c:v>18.8</c:v>
                </c:pt>
                <c:pt idx="44">
                  <c:v>15.7</c:v>
                </c:pt>
                <c:pt idx="45">
                  <c:v>15.2</c:v>
                </c:pt>
                <c:pt idx="46">
                  <c:v>17</c:v>
                </c:pt>
                <c:pt idx="47">
                  <c:v>20</c:v>
                </c:pt>
                <c:pt idx="48">
                  <c:v>17.2</c:v>
                </c:pt>
                <c:pt idx="49">
                  <c:v>27.4</c:v>
                </c:pt>
                <c:pt idx="50">
                  <c:v>28</c:v>
                </c:pt>
                <c:pt idx="51">
                  <c:v>27.3</c:v>
                </c:pt>
                <c:pt idx="52">
                  <c:v>28.8</c:v>
                </c:pt>
                <c:pt idx="53">
                  <c:v>26.1</c:v>
                </c:pt>
                <c:pt idx="54">
                  <c:v>25.6</c:v>
                </c:pt>
                <c:pt idx="55">
                  <c:v>24.7</c:v>
                </c:pt>
                <c:pt idx="56">
                  <c:v>26.5</c:v>
                </c:pt>
                <c:pt idx="57">
                  <c:v>23</c:v>
                </c:pt>
                <c:pt idx="58">
                  <c:v>21</c:v>
                </c:pt>
                <c:pt idx="59">
                  <c:v>20.5</c:v>
                </c:pt>
                <c:pt idx="60">
                  <c:v>23.8</c:v>
                </c:pt>
                <c:pt idx="61">
                  <c:v>22.1</c:v>
                </c:pt>
                <c:pt idx="62">
                  <c:v>22</c:v>
                </c:pt>
                <c:pt idx="63">
                  <c:v>22.5</c:v>
                </c:pt>
                <c:pt idx="64">
                  <c:v>24.7</c:v>
                </c:pt>
                <c:pt idx="65">
                  <c:v>19</c:v>
                </c:pt>
                <c:pt idx="66">
                  <c:v>21</c:v>
                </c:pt>
                <c:pt idx="67">
                  <c:v>18.3</c:v>
                </c:pt>
                <c:pt idx="68">
                  <c:v>22.3</c:v>
                </c:pt>
                <c:pt idx="69">
                  <c:v>18.3</c:v>
                </c:pt>
                <c:pt idx="70">
                  <c:v>19.5</c:v>
                </c:pt>
                <c:pt idx="71">
                  <c:v>18</c:v>
                </c:pt>
                <c:pt idx="72">
                  <c:v>23.2</c:v>
                </c:pt>
                <c:pt idx="73">
                  <c:v>23.3</c:v>
                </c:pt>
                <c:pt idx="74">
                  <c:v>23.7</c:v>
                </c:pt>
                <c:pt idx="75">
                  <c:v>24.2</c:v>
                </c:pt>
                <c:pt idx="76">
                  <c:v>22.3</c:v>
                </c:pt>
                <c:pt idx="77">
                  <c:v>22.9</c:v>
                </c:pt>
                <c:pt idx="78">
                  <c:v>20.8</c:v>
                </c:pt>
                <c:pt idx="79">
                  <c:v>22.2</c:v>
                </c:pt>
                <c:pt idx="80">
                  <c:v>23.5</c:v>
                </c:pt>
                <c:pt idx="81">
                  <c:v>25</c:v>
                </c:pt>
                <c:pt idx="82">
                  <c:v>25.3</c:v>
                </c:pt>
                <c:pt idx="83">
                  <c:v>25.5</c:v>
                </c:pt>
                <c:pt idx="84">
                  <c:v>25.1</c:v>
                </c:pt>
                <c:pt idx="85">
                  <c:v>25</c:v>
                </c:pt>
                <c:pt idx="86">
                  <c:v>24.6</c:v>
                </c:pt>
              </c:numCache>
            </c:numRef>
          </c:xVal>
          <c:yVal>
            <c:numRef>
              <c:f>Ec_OD!$D$2:$D$88</c:f>
              <c:numCache>
                <c:formatCode>0.00</c:formatCode>
                <c:ptCount val="87"/>
                <c:pt idx="0">
                  <c:v>9.26</c:v>
                </c:pt>
                <c:pt idx="1">
                  <c:v>9.26</c:v>
                </c:pt>
                <c:pt idx="2">
                  <c:v>9.65</c:v>
                </c:pt>
                <c:pt idx="3">
                  <c:v>9.4499999999999993</c:v>
                </c:pt>
                <c:pt idx="4">
                  <c:v>9.85</c:v>
                </c:pt>
                <c:pt idx="5">
                  <c:v>9.65</c:v>
                </c:pt>
                <c:pt idx="6">
                  <c:v>7.81</c:v>
                </c:pt>
                <c:pt idx="7">
                  <c:v>7.95</c:v>
                </c:pt>
                <c:pt idx="8">
                  <c:v>9.4499999999999993</c:v>
                </c:pt>
                <c:pt idx="9">
                  <c:v>9.4499999999999993</c:v>
                </c:pt>
                <c:pt idx="10">
                  <c:v>9.26</c:v>
                </c:pt>
                <c:pt idx="11">
                  <c:v>9.4499999999999993</c:v>
                </c:pt>
                <c:pt idx="12">
                  <c:v>9.26</c:v>
                </c:pt>
                <c:pt idx="13">
                  <c:v>9.4499999999999993</c:v>
                </c:pt>
                <c:pt idx="14">
                  <c:v>9.07</c:v>
                </c:pt>
                <c:pt idx="15">
                  <c:v>9.07</c:v>
                </c:pt>
                <c:pt idx="16">
                  <c:v>9.4499999999999993</c:v>
                </c:pt>
                <c:pt idx="17">
                  <c:v>9.07</c:v>
                </c:pt>
                <c:pt idx="18">
                  <c:v>9.26</c:v>
                </c:pt>
                <c:pt idx="19">
                  <c:v>9.07</c:v>
                </c:pt>
                <c:pt idx="20">
                  <c:v>9.26</c:v>
                </c:pt>
                <c:pt idx="21">
                  <c:v>8.9</c:v>
                </c:pt>
                <c:pt idx="22">
                  <c:v>8.7200000000000006</c:v>
                </c:pt>
                <c:pt idx="23">
                  <c:v>8.4</c:v>
                </c:pt>
                <c:pt idx="24">
                  <c:v>8.7200000000000006</c:v>
                </c:pt>
                <c:pt idx="25">
                  <c:v>8.24</c:v>
                </c:pt>
                <c:pt idx="26">
                  <c:v>8.7200000000000006</c:v>
                </c:pt>
                <c:pt idx="27">
                  <c:v>8.4</c:v>
                </c:pt>
                <c:pt idx="28">
                  <c:v>9.4499999999999993</c:v>
                </c:pt>
                <c:pt idx="29">
                  <c:v>9.26</c:v>
                </c:pt>
                <c:pt idx="30">
                  <c:v>8.4</c:v>
                </c:pt>
                <c:pt idx="31">
                  <c:v>8.4</c:v>
                </c:pt>
                <c:pt idx="32">
                  <c:v>7.95</c:v>
                </c:pt>
                <c:pt idx="33">
                  <c:v>7.95</c:v>
                </c:pt>
                <c:pt idx="34">
                  <c:v>9.65</c:v>
                </c:pt>
                <c:pt idx="35">
                  <c:v>9.07</c:v>
                </c:pt>
                <c:pt idx="36">
                  <c:v>9.65</c:v>
                </c:pt>
                <c:pt idx="37">
                  <c:v>9.26</c:v>
                </c:pt>
                <c:pt idx="38">
                  <c:v>8.56</c:v>
                </c:pt>
                <c:pt idx="39">
                  <c:v>9.26</c:v>
                </c:pt>
                <c:pt idx="40">
                  <c:v>9.26</c:v>
                </c:pt>
                <c:pt idx="41">
                  <c:v>9.07</c:v>
                </c:pt>
                <c:pt idx="42">
                  <c:v>9.85</c:v>
                </c:pt>
                <c:pt idx="43">
                  <c:v>9.26</c:v>
                </c:pt>
                <c:pt idx="44">
                  <c:v>9.85</c:v>
                </c:pt>
                <c:pt idx="45">
                  <c:v>10.07</c:v>
                </c:pt>
                <c:pt idx="46">
                  <c:v>9.65</c:v>
                </c:pt>
                <c:pt idx="47">
                  <c:v>9.07</c:v>
                </c:pt>
                <c:pt idx="48">
                  <c:v>9.65</c:v>
                </c:pt>
                <c:pt idx="49">
                  <c:v>7.95</c:v>
                </c:pt>
                <c:pt idx="50">
                  <c:v>7.81</c:v>
                </c:pt>
                <c:pt idx="51">
                  <c:v>7.95</c:v>
                </c:pt>
                <c:pt idx="52">
                  <c:v>7.67</c:v>
                </c:pt>
                <c:pt idx="53">
                  <c:v>8.09</c:v>
                </c:pt>
                <c:pt idx="54">
                  <c:v>8.09</c:v>
                </c:pt>
                <c:pt idx="55">
                  <c:v>8.24</c:v>
                </c:pt>
                <c:pt idx="56">
                  <c:v>7.95</c:v>
                </c:pt>
                <c:pt idx="57">
                  <c:v>8.56</c:v>
                </c:pt>
                <c:pt idx="58">
                  <c:v>8.9</c:v>
                </c:pt>
                <c:pt idx="59">
                  <c:v>8.9</c:v>
                </c:pt>
                <c:pt idx="60">
                  <c:v>8.4</c:v>
                </c:pt>
                <c:pt idx="61">
                  <c:v>8.7200000000000006</c:v>
                </c:pt>
                <c:pt idx="62">
                  <c:v>8.7200000000000006</c:v>
                </c:pt>
                <c:pt idx="63">
                  <c:v>8.56</c:v>
                </c:pt>
                <c:pt idx="64">
                  <c:v>8.24</c:v>
                </c:pt>
                <c:pt idx="65">
                  <c:v>9.26</c:v>
                </c:pt>
                <c:pt idx="66">
                  <c:v>8.9</c:v>
                </c:pt>
                <c:pt idx="67">
                  <c:v>9.4499999999999993</c:v>
                </c:pt>
                <c:pt idx="68">
                  <c:v>8.7200000000000006</c:v>
                </c:pt>
                <c:pt idx="69">
                  <c:v>9.4499999999999993</c:v>
                </c:pt>
                <c:pt idx="70">
                  <c:v>9.07</c:v>
                </c:pt>
                <c:pt idx="71">
                  <c:v>9.4499999999999993</c:v>
                </c:pt>
                <c:pt idx="72">
                  <c:v>8.56</c:v>
                </c:pt>
                <c:pt idx="73">
                  <c:v>8.56</c:v>
                </c:pt>
                <c:pt idx="74">
                  <c:v>8.4</c:v>
                </c:pt>
                <c:pt idx="75">
                  <c:v>8.4</c:v>
                </c:pt>
                <c:pt idx="76">
                  <c:v>8.7200000000000006</c:v>
                </c:pt>
                <c:pt idx="77">
                  <c:v>8.56</c:v>
                </c:pt>
                <c:pt idx="78">
                  <c:v>8.9</c:v>
                </c:pt>
                <c:pt idx="79">
                  <c:v>8.7200000000000006</c:v>
                </c:pt>
                <c:pt idx="80">
                  <c:v>8.4</c:v>
                </c:pt>
                <c:pt idx="81">
                  <c:v>8.24</c:v>
                </c:pt>
                <c:pt idx="82">
                  <c:v>8.24</c:v>
                </c:pt>
                <c:pt idx="83">
                  <c:v>8.09</c:v>
                </c:pt>
                <c:pt idx="84">
                  <c:v>8.24</c:v>
                </c:pt>
                <c:pt idx="85">
                  <c:v>8.24</c:v>
                </c:pt>
                <c:pt idx="86">
                  <c:v>8.24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93-480E-B903-608A7DF24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09912"/>
        <c:axId val="635320888"/>
      </c:scatterChart>
      <c:valAx>
        <c:axId val="635309912"/>
        <c:scaling>
          <c:orientation val="minMax"/>
          <c:max val="29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0888"/>
        <c:crosses val="autoZero"/>
        <c:crossBetween val="midCat"/>
      </c:valAx>
      <c:valAx>
        <c:axId val="635320888"/>
        <c:scaling>
          <c:orientation val="minMax"/>
          <c:min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09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solidos!$C$1</c:f>
              <c:strCache>
                <c:ptCount val="1"/>
                <c:pt idx="0">
                  <c:v>SDT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solidos!$A$3:$A$5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solidos!$C$3:$C$5</c:f>
              <c:numCache>
                <c:formatCode>General</c:formatCode>
                <c:ptCount val="3"/>
                <c:pt idx="0">
                  <c:v>88</c:v>
                </c:pt>
                <c:pt idx="1">
                  <c:v>15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B-43CC-9F62-134700AE4033}"/>
            </c:ext>
          </c:extLst>
        </c:ser>
        <c:ser>
          <c:idx val="3"/>
          <c:order val="2"/>
          <c:tx>
            <c:strRef>
              <c:f>solidos!$E$1</c:f>
              <c:strCache>
                <c:ptCount val="1"/>
                <c:pt idx="0">
                  <c:v>SST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solidos!$A$3:$A$5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solidos!$E$3:$E$5</c:f>
              <c:numCache>
                <c:formatCode>General</c:formatCode>
                <c:ptCount val="3"/>
                <c:pt idx="0">
                  <c:v>23.6</c:v>
                </c:pt>
                <c:pt idx="1">
                  <c:v>2.7</c:v>
                </c:pt>
                <c:pt idx="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FB-43CC-9F62-134700AE4033}"/>
            </c:ext>
          </c:extLst>
        </c:ser>
        <c:ser>
          <c:idx val="6"/>
          <c:order val="6"/>
          <c:tx>
            <c:strRef>
              <c:f>solidos!$H$1</c:f>
              <c:strCache>
                <c:ptCount val="1"/>
                <c:pt idx="0">
                  <c:v>SDT</c:v>
                </c:pt>
              </c:strCache>
            </c:strRef>
          </c:tx>
          <c:spPr>
            <a:pattFill prst="dkUpDiag">
              <a:fgClr>
                <a:schemeClr val="accent6"/>
              </a:fgClr>
              <a:bgClr>
                <a:schemeClr val="bg1"/>
              </a:bgClr>
            </a:pattFill>
            <a:ln>
              <a:solidFill>
                <a:schemeClr val="accent6"/>
              </a:solidFill>
            </a:ln>
            <a:effectLst/>
          </c:spPr>
          <c:invertIfNegative val="0"/>
          <c:cat>
            <c:strRef>
              <c:f>solidos!$A$3:$A$5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solidos!$H$3:$H$5</c:f>
              <c:numCache>
                <c:formatCode>General</c:formatCode>
                <c:ptCount val="3"/>
                <c:pt idx="0">
                  <c:v>7</c:v>
                </c:pt>
                <c:pt idx="1">
                  <c:v>30</c:v>
                </c:pt>
                <c:pt idx="2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FB-43CC-9F62-134700AE4033}"/>
            </c:ext>
          </c:extLst>
        </c:ser>
        <c:ser>
          <c:idx val="8"/>
          <c:order val="8"/>
          <c:tx>
            <c:strRef>
              <c:f>solidos!$J$1</c:f>
              <c:strCache>
                <c:ptCount val="1"/>
                <c:pt idx="0">
                  <c:v>SST</c:v>
                </c:pt>
              </c:strCache>
            </c:strRef>
          </c:tx>
          <c:spPr>
            <a:pattFill prst="dkUpDiag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solidos!$A$3:$A$5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solidos!$J$3:$J$5</c:f>
              <c:numCache>
                <c:formatCode>General</c:formatCode>
                <c:ptCount val="3"/>
                <c:pt idx="0">
                  <c:v>7.5</c:v>
                </c:pt>
                <c:pt idx="1">
                  <c:v>5.7</c:v>
                </c:pt>
                <c:pt idx="2">
                  <c:v>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3CC-9F62-134700AE4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35310304"/>
        <c:axId val="635317752"/>
        <c:extLst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solidos!$D$1</c15:sqref>
                        </c15:formulaRef>
                      </c:ext>
                    </c:extLst>
                    <c:strCache>
                      <c:ptCount val="1"/>
                      <c:pt idx="0">
                        <c:v>SSed (mL/L)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solidos!$A$3:$A$5</c15:sqref>
                        </c15:formulaRef>
                      </c:ext>
                    </c:extLst>
                    <c:strCache>
                      <c:ptCount val="3"/>
                      <c:pt idx="0">
                        <c:v>Captación</c:v>
                      </c:pt>
                      <c:pt idx="1">
                        <c:v>Intermedio</c:v>
                      </c:pt>
                      <c:pt idx="2">
                        <c:v>Descarga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solidos!$D$3:$D$5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0.1</c:v>
                      </c:pt>
                      <c:pt idx="1">
                        <c:v>0.1</c:v>
                      </c:pt>
                      <c:pt idx="2">
                        <c:v>0.1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EFB-43CC-9F62-134700AE4033}"/>
                  </c:ext>
                </c:extLst>
              </c15:ser>
            </c15:filteredBarSeries>
            <c15:filteredBa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solidos!$F$1</c15:sqref>
                        </c15:formulaRef>
                      </c:ext>
                    </c:extLst>
                    <c:strCache>
                      <c:ptCount val="1"/>
                      <c:pt idx="0">
                        <c:v>SSV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solidos!$A$3:$A$5</c15:sqref>
                        </c15:formulaRef>
                      </c:ext>
                    </c:extLst>
                    <c:strCache>
                      <c:ptCount val="3"/>
                      <c:pt idx="0">
                        <c:v>Captación</c:v>
                      </c:pt>
                      <c:pt idx="1">
                        <c:v>Intermedio</c:v>
                      </c:pt>
                      <c:pt idx="2">
                        <c:v>Descarga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solidos!$F$3:$F$5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4</c:v>
                      </c:pt>
                      <c:pt idx="1">
                        <c:v>1</c:v>
                      </c:pt>
                      <c:pt idx="2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EFB-43CC-9F62-134700AE403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solidos!$I$1</c15:sqref>
                        </c15:formulaRef>
                      </c:ext>
                    </c:extLst>
                    <c:strCache>
                      <c:ptCount val="1"/>
                      <c:pt idx="0">
                        <c:v>ANALTEC</c:v>
                      </c:pt>
                    </c:strCache>
                  </c:strRef>
                </c:tx>
                <c:spPr>
                  <a:pattFill prst="dkUpDiag">
                    <a:fgClr>
                      <a:schemeClr val="accent3"/>
                    </a:fgClr>
                    <a:bgClr>
                      <a:schemeClr val="bg1"/>
                    </a:bgClr>
                  </a:pattFill>
                  <a:ln>
                    <a:solidFill>
                      <a:schemeClr val="accent3"/>
                    </a:solidFill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solidos!$A$3:$A$5</c15:sqref>
                        </c15:formulaRef>
                      </c:ext>
                    </c:extLst>
                    <c:strCache>
                      <c:ptCount val="3"/>
                      <c:pt idx="0">
                        <c:v>Captación</c:v>
                      </c:pt>
                      <c:pt idx="1">
                        <c:v>Intermedio</c:v>
                      </c:pt>
                      <c:pt idx="2">
                        <c:v>Descarga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solidos!$I$3:$I$5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EFB-43CC-9F62-134700AE4033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solidos!$K$1</c15:sqref>
                        </c15:formulaRef>
                      </c:ext>
                    </c:extLst>
                    <c:strCache>
                      <c:ptCount val="1"/>
                      <c:pt idx="0">
                        <c:v>SSV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solidos!$A$3:$A$5</c15:sqref>
                        </c15:formulaRef>
                      </c:ext>
                    </c:extLst>
                    <c:strCache>
                      <c:ptCount val="3"/>
                      <c:pt idx="0">
                        <c:v>Captación</c:v>
                      </c:pt>
                      <c:pt idx="1">
                        <c:v>Intermedio</c:v>
                      </c:pt>
                      <c:pt idx="2">
                        <c:v>Descarga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solidos!$K$3:$K$5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EFB-43CC-9F62-134700AE4033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4"/>
          <c:tx>
            <c:strRef>
              <c:f>solidos!$B$1</c:f>
              <c:strCache>
                <c:ptCount val="1"/>
                <c:pt idx="0">
                  <c:v>Turbiedad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solidos!$A$3:$A$5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solidos!$B$3:$B$5</c:f>
              <c:numCache>
                <c:formatCode>General</c:formatCode>
                <c:ptCount val="3"/>
                <c:pt idx="0">
                  <c:v>17.3</c:v>
                </c:pt>
                <c:pt idx="1">
                  <c:v>2.68</c:v>
                </c:pt>
                <c:pt idx="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FB-43CC-9F62-134700AE4033}"/>
            </c:ext>
          </c:extLst>
        </c:ser>
        <c:ser>
          <c:idx val="5"/>
          <c:order val="5"/>
          <c:tx>
            <c:strRef>
              <c:f>solidos!$G$1</c:f>
              <c:strCache>
                <c:ptCount val="1"/>
                <c:pt idx="0">
                  <c:v>Turbiedad (NTU)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solidos!$A$3:$A$5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solidos!$G$3:$G$5</c:f>
              <c:numCache>
                <c:formatCode>General</c:formatCode>
                <c:ptCount val="3"/>
                <c:pt idx="0">
                  <c:v>6.41</c:v>
                </c:pt>
                <c:pt idx="1">
                  <c:v>7.6</c:v>
                </c:pt>
                <c:pt idx="2">
                  <c:v>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FB-43CC-9F62-134700AE4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325592"/>
        <c:axId val="635316184"/>
      </c:lineChart>
      <c:catAx>
        <c:axId val="63531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17752"/>
        <c:crosses val="autoZero"/>
        <c:auto val="1"/>
        <c:lblAlgn val="ctr"/>
        <c:lblOffset val="100"/>
        <c:noMultiLvlLbl val="0"/>
      </c:catAx>
      <c:valAx>
        <c:axId val="6353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Sólidos</a:t>
                </a:r>
                <a:r>
                  <a:rPr lang="es-ES" baseline="0"/>
                  <a:t> (mg/L)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10304"/>
        <c:crosses val="autoZero"/>
        <c:crossBetween val="between"/>
      </c:valAx>
      <c:valAx>
        <c:axId val="6353161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Turbiedad (NTU)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5592"/>
        <c:crosses val="max"/>
        <c:crossBetween val="between"/>
      </c:valAx>
      <c:catAx>
        <c:axId val="6353255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35316184"/>
        <c:crosses val="max"/>
        <c:auto val="1"/>
        <c:lblAlgn val="ctr"/>
        <c:lblOffset val="100"/>
        <c:tickMarkSkip val="1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1863109683297926"/>
          <c:y val="0.91266535785963965"/>
          <c:w val="0.38982667102249813"/>
          <c:h val="6.90447552093054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7.9247594050743664E-2"/>
          <c:y val="0.1414973559532206"/>
          <c:w val="0.89019685039370078"/>
          <c:h val="0.4614654663819755"/>
        </c:manualLayout>
      </c:layout>
      <c:barChart>
        <c:barDir val="col"/>
        <c:grouping val="clustered"/>
        <c:varyColors val="0"/>
        <c:ser>
          <c:idx val="0"/>
          <c:order val="0"/>
          <c:tx>
            <c:v>Monitoreo 2015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solidos!$B$3:$B$5</c:f>
              <c:numCache>
                <c:formatCode>General</c:formatCode>
                <c:ptCount val="3"/>
                <c:pt idx="0">
                  <c:v>17.3</c:v>
                </c:pt>
                <c:pt idx="1">
                  <c:v>2.68</c:v>
                </c:pt>
                <c:pt idx="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8-4D5F-9514-FAC22879470B}"/>
            </c:ext>
          </c:extLst>
        </c:ser>
        <c:ser>
          <c:idx val="1"/>
          <c:order val="1"/>
          <c:tx>
            <c:v>Monitoreo 2018</c:v>
          </c:tx>
          <c:spPr>
            <a:pattFill prst="wdUpDiag">
              <a:fgClr>
                <a:schemeClr val="accent3"/>
              </a:fgClr>
              <a:bgClr>
                <a:schemeClr val="bg1"/>
              </a:bgClr>
            </a:pattFill>
            <a:ln>
              <a:solidFill>
                <a:schemeClr val="accent3"/>
              </a:solidFill>
            </a:ln>
            <a:effectLst/>
          </c:spPr>
          <c:invertIfNegative val="0"/>
          <c:val>
            <c:numRef>
              <c:f>solidos!$C$3:$C$5</c:f>
              <c:numCache>
                <c:formatCode>General</c:formatCode>
                <c:ptCount val="3"/>
                <c:pt idx="0">
                  <c:v>88</c:v>
                </c:pt>
                <c:pt idx="1">
                  <c:v>15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8-4D5F-9514-FAC228794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35324416"/>
        <c:axId val="635322456"/>
      </c:barChart>
      <c:lineChart>
        <c:grouping val="standard"/>
        <c:varyColors val="0"/>
        <c:ser>
          <c:idx val="2"/>
          <c:order val="2"/>
          <c:tx>
            <c:v> 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solidos!$D$3:$D$5</c:f>
              <c:numCache>
                <c:formatCode>General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28-4D5F-9514-FAC22879470B}"/>
            </c:ext>
          </c:extLst>
        </c:ser>
        <c:ser>
          <c:idx val="3"/>
          <c:order val="3"/>
          <c:tx>
            <c:v> </c:v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solidos!$E$3:$E$5</c:f>
              <c:numCache>
                <c:formatCode>General</c:formatCode>
                <c:ptCount val="3"/>
                <c:pt idx="0">
                  <c:v>23.6</c:v>
                </c:pt>
                <c:pt idx="1">
                  <c:v>2.7</c:v>
                </c:pt>
                <c:pt idx="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28-4D5F-9514-FAC228794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5324416"/>
        <c:axId val="635322456"/>
      </c:lineChart>
      <c:catAx>
        <c:axId val="635324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2456"/>
        <c:crosses val="autoZero"/>
        <c:auto val="1"/>
        <c:lblAlgn val="ctr"/>
        <c:lblOffset val="100"/>
        <c:noMultiLvlLbl val="0"/>
      </c:catAx>
      <c:valAx>
        <c:axId val="63532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4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1327646544182"/>
          <c:y val="0.78761519393409141"/>
          <c:w val="0.53562314085739282"/>
          <c:h val="9.3047797108310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DBO_DQO!$B$2</c:f>
              <c:strCache>
                <c:ptCount val="1"/>
                <c:pt idx="0">
                  <c:v>DQO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DBO_DQO!$A$3:$A$5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DBO_DQO!$B$3:$B$5</c:f>
              <c:numCache>
                <c:formatCode>General</c:formatCode>
                <c:ptCount val="3"/>
                <c:pt idx="0">
                  <c:v>58.77</c:v>
                </c:pt>
                <c:pt idx="1">
                  <c:v>22.41</c:v>
                </c:pt>
                <c:pt idx="2">
                  <c:v>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9E-41DD-AC63-96EF43B466E1}"/>
            </c:ext>
          </c:extLst>
        </c:ser>
        <c:ser>
          <c:idx val="1"/>
          <c:order val="1"/>
          <c:tx>
            <c:strRef>
              <c:f>DBO_DQO!$C$2</c:f>
              <c:strCache>
                <c:ptCount val="1"/>
                <c:pt idx="0">
                  <c:v>DBO5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DBO_DQO!$A$3:$A$5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DBO_DQO!$C$3:$C$5</c:f>
              <c:numCache>
                <c:formatCode>General</c:formatCode>
                <c:ptCount val="3"/>
                <c:pt idx="0">
                  <c:v>32.1</c:v>
                </c:pt>
                <c:pt idx="1">
                  <c:v>14.01</c:v>
                </c:pt>
                <c:pt idx="2">
                  <c:v>5.14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9E-41DD-AC63-96EF43B466E1}"/>
            </c:ext>
          </c:extLst>
        </c:ser>
        <c:ser>
          <c:idx val="2"/>
          <c:order val="2"/>
          <c:tx>
            <c:strRef>
              <c:f>DBO_DQO!$D$2</c:f>
              <c:strCache>
                <c:ptCount val="1"/>
                <c:pt idx="0">
                  <c:v>DQO (mg O2/L)</c:v>
                </c:pt>
              </c:strCache>
            </c:strRef>
          </c:tx>
          <c:spPr>
            <a:pattFill prst="dkUp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DBO_DQO!$A$3:$A$5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DBO_DQO!$D$3:$D$5</c:f>
              <c:numCache>
                <c:formatCode>General</c:formatCode>
                <c:ptCount val="3"/>
                <c:pt idx="0">
                  <c:v>19.8</c:v>
                </c:pt>
                <c:pt idx="1">
                  <c:v>11.6</c:v>
                </c:pt>
                <c:pt idx="2">
                  <c:v>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9E-41DD-AC63-96EF43B466E1}"/>
            </c:ext>
          </c:extLst>
        </c:ser>
        <c:ser>
          <c:idx val="3"/>
          <c:order val="3"/>
          <c:tx>
            <c:strRef>
              <c:f>DBO_DQO!$E$2</c:f>
              <c:strCache>
                <c:ptCount val="1"/>
                <c:pt idx="0">
                  <c:v>DBO5 (mg O2/L)</c:v>
                </c:pt>
              </c:strCache>
            </c:strRef>
          </c:tx>
          <c:spPr>
            <a:pattFill prst="dkUpDiag">
              <a:fgClr>
                <a:schemeClr val="accent2"/>
              </a:fgClr>
              <a:bgClr>
                <a:schemeClr val="bg1"/>
              </a:bgClr>
            </a:patt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DBO_DQO!$A$3:$A$5</c:f>
              <c:strCache>
                <c:ptCount val="3"/>
                <c:pt idx="0">
                  <c:v>Captación</c:v>
                </c:pt>
                <c:pt idx="1">
                  <c:v>Intermedio</c:v>
                </c:pt>
                <c:pt idx="2">
                  <c:v>Descarga</c:v>
                </c:pt>
              </c:strCache>
            </c:strRef>
          </c:cat>
          <c:val>
            <c:numRef>
              <c:f>DBO_DQO!$E$3:$E$5</c:f>
              <c:numCache>
                <c:formatCode>General</c:formatCode>
                <c:ptCount val="3"/>
                <c:pt idx="0">
                  <c:v>3.39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9E-41DD-AC63-96EF43B46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35325200"/>
        <c:axId val="635322848"/>
      </c:barChart>
      <c:catAx>
        <c:axId val="63532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2848"/>
        <c:crosses val="autoZero"/>
        <c:auto val="1"/>
        <c:lblAlgn val="ctr"/>
        <c:lblOffset val="100"/>
        <c:noMultiLvlLbl val="0"/>
      </c:catAx>
      <c:valAx>
        <c:axId val="63532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DBO</a:t>
                </a:r>
                <a:r>
                  <a:rPr lang="es-ES" baseline="0"/>
                  <a:t> - DQO (mg O</a:t>
                </a:r>
                <a:r>
                  <a:rPr lang="es-E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₂/L)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532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3030602781955294"/>
          <c:y val="0.91172169943188586"/>
          <c:w val="0.36018793117431885"/>
          <c:h val="6.5123456039828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23812</xdr:rowOff>
    </xdr:from>
    <xdr:to>
      <xdr:col>6</xdr:col>
      <xdr:colOff>0</xdr:colOff>
      <xdr:row>29</xdr:row>
      <xdr:rowOff>100012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172810</xdr:rowOff>
    </xdr:from>
    <xdr:to>
      <xdr:col>4</xdr:col>
      <xdr:colOff>552000</xdr:colOff>
      <xdr:row>45</xdr:row>
      <xdr:rowOff>4810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104775</xdr:colOff>
      <xdr:row>15</xdr:row>
      <xdr:rowOff>13607</xdr:rowOff>
    </xdr:from>
    <xdr:to>
      <xdr:col>14</xdr:col>
      <xdr:colOff>104775</xdr:colOff>
      <xdr:row>29</xdr:row>
      <xdr:rowOff>89807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105239</xdr:colOff>
      <xdr:row>29</xdr:row>
      <xdr:rowOff>181243</xdr:rowOff>
    </xdr:from>
    <xdr:to>
      <xdr:col>12</xdr:col>
      <xdr:colOff>657239</xdr:colOff>
      <xdr:row>45</xdr:row>
      <xdr:rowOff>13243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36635</xdr:colOff>
      <xdr:row>6</xdr:row>
      <xdr:rowOff>21982</xdr:rowOff>
    </xdr:from>
    <xdr:to>
      <xdr:col>6</xdr:col>
      <xdr:colOff>14654</xdr:colOff>
      <xdr:row>15</xdr:row>
      <xdr:rowOff>20879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6635" y="1164982"/>
          <a:ext cx="4550019" cy="1713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12</xdr:row>
      <xdr:rowOff>123825</xdr:rowOff>
    </xdr:from>
    <xdr:to>
      <xdr:col>11</xdr:col>
      <xdr:colOff>19050</xdr:colOff>
      <xdr:row>27</xdr:row>
      <xdr:rowOff>9525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85725</xdr:colOff>
      <xdr:row>12</xdr:row>
      <xdr:rowOff>95250</xdr:rowOff>
    </xdr:from>
    <xdr:to>
      <xdr:col>17</xdr:col>
      <xdr:colOff>85725</xdr:colOff>
      <xdr:row>26</xdr:row>
      <xdr:rowOff>171450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</xdr:colOff>
      <xdr:row>5</xdr:row>
      <xdr:rowOff>42862</xdr:rowOff>
    </xdr:from>
    <xdr:to>
      <xdr:col>7</xdr:col>
      <xdr:colOff>180975</xdr:colOff>
      <xdr:row>23</xdr:row>
      <xdr:rowOff>85726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261937</xdr:colOff>
      <xdr:row>7</xdr:row>
      <xdr:rowOff>4762</xdr:rowOff>
    </xdr:from>
    <xdr:to>
      <xdr:col>13</xdr:col>
      <xdr:colOff>261937</xdr:colOff>
      <xdr:row>24</xdr:row>
      <xdr:rowOff>95250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0.52191</cdr:x>
      <cdr:y>0.88552</cdr:y>
    </cdr:from>
    <cdr:to>
      <cdr:x>0.9143</cdr:x>
      <cdr:y>0.98753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536E1180-149E-8E01-D32F-E38795091F9C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826112" y="3074411"/>
          <a:ext cx="2124788" cy="354157"/>
        </a:xfrm>
        <a:prstGeom xmlns:a="http://schemas.openxmlformats.org/drawingml/2006/main" prst="rect">
          <a:avLst/>
        </a:prstGeom>
      </cdr:spPr>
    </cdr:pic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71437</xdr:rowOff>
    </xdr:from>
    <xdr:to>
      <xdr:col>7</xdr:col>
      <xdr:colOff>4763</xdr:colOff>
      <xdr:row>23</xdr:row>
      <xdr:rowOff>123825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161925</xdr:colOff>
      <xdr:row>9</xdr:row>
      <xdr:rowOff>95250</xdr:rowOff>
    </xdr:from>
    <xdr:to>
      <xdr:col>13</xdr:col>
      <xdr:colOff>139944</xdr:colOff>
      <xdr:row>18</xdr:row>
      <xdr:rowOff>94147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95925" y="1905000"/>
          <a:ext cx="4550019" cy="1713397"/>
        </a:xfrm>
        <a:prstGeom prst="rect">
          <a:avLst/>
        </a:prstGeom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0.45871</cdr:x>
      <cdr:y>0.92655</cdr:y>
    </cdr:from>
    <cdr:to>
      <cdr:x>0.87059</cdr:x>
      <cdr:y>0.97616</cdr:y>
    </cdr:to>
    <cdr:pic>
      <cdr:nvPicPr>
        <cdr:cNvPr id="2" name="Imagen 1">
          <a:extLst xmlns:a="http://schemas.openxmlformats.org/drawingml/2006/main">
            <a:ext uri="{FF2B5EF4-FFF2-40B4-BE49-F238E27FC236}">
              <a16:creationId xmlns:a16="http://schemas.microsoft.com/office/drawing/2014/main" id="{D19CDFD0-84D9-B649-E044-2B61177C6909}"/>
            </a:ext>
          </a:extLst>
        </cdr:cNvPr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2633" t="32773" b="1"/>
        <a:stretch xmlns:a="http://schemas.openxmlformats.org/drawingml/2006/main"/>
      </cdr:blipFill>
      <cdr:spPr>
        <a:xfrm xmlns:a="http://schemas.openxmlformats.org/drawingml/2006/main">
          <a:off x="2448947" y="3049185"/>
          <a:ext cx="2198930" cy="163261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223837</xdr:colOff>
      <xdr:row>6</xdr:row>
      <xdr:rowOff>138112</xdr:rowOff>
    </xdr:from>
    <xdr:to>
      <xdr:col>6</xdr:col>
      <xdr:colOff>223837</xdr:colOff>
      <xdr:row>21</xdr:row>
      <xdr:rowOff>23812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0.50834</cdr:x>
      <cdr:y>0.87847</cdr:y>
    </cdr:from>
    <cdr:to>
      <cdr:x>0.97605</cdr:x>
      <cdr:y>0.94489</cdr:y>
    </cdr:to>
    <cdr:pic>
      <cdr:nvPicPr>
        <cdr:cNvPr id="3" name="Imagen 2">
          <a:extLst xmlns:a="http://schemas.openxmlformats.org/drawingml/2006/main">
            <a:ext uri="{FF2B5EF4-FFF2-40B4-BE49-F238E27FC236}">
              <a16:creationId xmlns:a16="http://schemas.microsoft.com/office/drawing/2014/main" id="{3E344784-B69C-3CFB-DF2E-251D28FFD76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324115" y="2409813"/>
          <a:ext cx="2138370" cy="18220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6"/>
  <sheetViews>
    <sheetView topLeftCell="H1" zoomScale="115" zoomScaleNormal="115" workbookViewId="0">
      <selection activeCell="O15" sqref="O15"/>
    </sheetView>
  </sheetViews>
  <sheetFormatPr baseColWidth="10" defaultRowHeight="15" x14ac:dyDescent="0.25"/>
  <sheetData>
    <row r="2" spans="1:19" x14ac:dyDescent="0.25">
      <c r="B2" s="43" t="s">
        <v>1</v>
      </c>
      <c r="C2" s="43"/>
      <c r="D2" s="1"/>
      <c r="E2" s="1"/>
      <c r="F2" s="1"/>
      <c r="G2" s="1"/>
      <c r="H2" s="43" t="s">
        <v>4</v>
      </c>
      <c r="I2" s="43"/>
      <c r="J2" s="43" t="s">
        <v>5</v>
      </c>
      <c r="K2" s="43"/>
      <c r="L2" s="43" t="s">
        <v>7</v>
      </c>
      <c r="M2" s="43"/>
      <c r="N2" s="43" t="s">
        <v>6</v>
      </c>
      <c r="O2" s="43"/>
    </row>
    <row r="3" spans="1:19" x14ac:dyDescent="0.25">
      <c r="A3" t="s">
        <v>0</v>
      </c>
      <c r="B3" t="s">
        <v>53</v>
      </c>
      <c r="C3" t="s">
        <v>54</v>
      </c>
      <c r="D3" t="s">
        <v>63</v>
      </c>
      <c r="F3" s="43" t="s">
        <v>61</v>
      </c>
      <c r="G3" s="43"/>
      <c r="H3" s="33" t="s">
        <v>53</v>
      </c>
      <c r="I3" s="33" t="s">
        <v>54</v>
      </c>
      <c r="J3" s="33" t="s">
        <v>53</v>
      </c>
      <c r="K3" s="33" t="s">
        <v>54</v>
      </c>
      <c r="L3" s="33" t="s">
        <v>53</v>
      </c>
      <c r="M3" s="33" t="s">
        <v>54</v>
      </c>
      <c r="N3" s="33" t="s">
        <v>53</v>
      </c>
      <c r="O3" s="33" t="s">
        <v>54</v>
      </c>
      <c r="P3" t="s">
        <v>11</v>
      </c>
      <c r="Q3" t="s">
        <v>62</v>
      </c>
      <c r="R3" t="s">
        <v>65</v>
      </c>
      <c r="S3" t="s">
        <v>64</v>
      </c>
    </row>
    <row r="4" spans="1:19" x14ac:dyDescent="0.25">
      <c r="A4" t="s">
        <v>8</v>
      </c>
      <c r="B4">
        <v>7.87</v>
      </c>
      <c r="C4">
        <v>6.6</v>
      </c>
      <c r="D4">
        <v>6.5</v>
      </c>
      <c r="E4">
        <v>9</v>
      </c>
      <c r="F4">
        <v>5</v>
      </c>
      <c r="G4">
        <v>9</v>
      </c>
      <c r="H4">
        <v>18.899999999999999</v>
      </c>
      <c r="I4">
        <v>19.2</v>
      </c>
      <c r="J4">
        <v>582</v>
      </c>
      <c r="K4">
        <v>19</v>
      </c>
      <c r="L4">
        <v>7.91</v>
      </c>
      <c r="M4">
        <v>6.84</v>
      </c>
      <c r="N4" s="11">
        <v>97.33012121443123</v>
      </c>
      <c r="O4">
        <v>78.3</v>
      </c>
      <c r="R4">
        <v>7</v>
      </c>
      <c r="S4">
        <v>6</v>
      </c>
    </row>
    <row r="5" spans="1:19" x14ac:dyDescent="0.25">
      <c r="A5" t="s">
        <v>9</v>
      </c>
      <c r="B5">
        <v>7.71</v>
      </c>
      <c r="C5">
        <v>6.63</v>
      </c>
      <c r="D5">
        <v>6.5</v>
      </c>
      <c r="E5">
        <v>9</v>
      </c>
      <c r="F5">
        <v>5</v>
      </c>
      <c r="G5">
        <v>9</v>
      </c>
      <c r="H5">
        <v>18.7</v>
      </c>
      <c r="I5">
        <v>19.899999999999999</v>
      </c>
      <c r="J5">
        <v>258</v>
      </c>
      <c r="K5">
        <v>45</v>
      </c>
      <c r="L5">
        <v>8.2200000000000006</v>
      </c>
      <c r="M5">
        <v>6.48</v>
      </c>
      <c r="N5" s="11">
        <v>99.469487527724922</v>
      </c>
      <c r="O5">
        <v>79.5</v>
      </c>
      <c r="R5">
        <v>7</v>
      </c>
      <c r="S5">
        <v>6</v>
      </c>
    </row>
    <row r="6" spans="1:19" x14ac:dyDescent="0.25">
      <c r="A6" t="s">
        <v>10</v>
      </c>
      <c r="B6">
        <v>7.77</v>
      </c>
      <c r="C6">
        <v>6.6</v>
      </c>
      <c r="D6">
        <v>6.5</v>
      </c>
      <c r="E6">
        <v>9</v>
      </c>
      <c r="F6">
        <v>5</v>
      </c>
      <c r="G6">
        <v>9</v>
      </c>
      <c r="H6">
        <v>21.7</v>
      </c>
      <c r="I6">
        <v>19.3</v>
      </c>
      <c r="J6">
        <v>361</v>
      </c>
      <c r="K6">
        <v>31</v>
      </c>
      <c r="L6">
        <v>7.63</v>
      </c>
      <c r="M6">
        <v>7.59</v>
      </c>
      <c r="N6" s="11">
        <v>96.589358563357649</v>
      </c>
      <c r="O6">
        <v>81.400000000000006</v>
      </c>
      <c r="R6">
        <v>7</v>
      </c>
      <c r="S6">
        <v>6</v>
      </c>
    </row>
  </sheetData>
  <mergeCells count="6">
    <mergeCell ref="N2:O2"/>
    <mergeCell ref="F3:G3"/>
    <mergeCell ref="B2:C2"/>
    <mergeCell ref="H2:I2"/>
    <mergeCell ref="J2:K2"/>
    <mergeCell ref="L2:M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8"/>
  <sheetViews>
    <sheetView topLeftCell="C1" zoomScale="115" zoomScaleNormal="115" workbookViewId="0">
      <selection activeCell="M2" sqref="M2:M4"/>
    </sheetView>
  </sheetViews>
  <sheetFormatPr baseColWidth="10" defaultRowHeight="15" x14ac:dyDescent="0.25"/>
  <cols>
    <col min="10" max="10" width="14.5703125" bestFit="1" customWidth="1"/>
    <col min="11" max="11" width="16.85546875" bestFit="1" customWidth="1"/>
  </cols>
  <sheetData>
    <row r="1" spans="1:13" x14ac:dyDescent="0.25">
      <c r="A1" t="s">
        <v>29</v>
      </c>
      <c r="B1" t="s">
        <v>30</v>
      </c>
      <c r="C1" t="s">
        <v>31</v>
      </c>
      <c r="D1" t="s">
        <v>32</v>
      </c>
      <c r="G1" t="s">
        <v>36</v>
      </c>
      <c r="H1" t="s">
        <v>34</v>
      </c>
      <c r="I1" t="s">
        <v>35</v>
      </c>
      <c r="J1" t="s">
        <v>37</v>
      </c>
      <c r="K1" t="s">
        <v>39</v>
      </c>
      <c r="L1" t="s">
        <v>38</v>
      </c>
      <c r="M1" s="12" t="s">
        <v>11</v>
      </c>
    </row>
    <row r="2" spans="1:13" x14ac:dyDescent="0.25">
      <c r="A2" s="2">
        <v>2170</v>
      </c>
      <c r="B2" s="6">
        <v>0.76</v>
      </c>
      <c r="C2" s="7">
        <v>18.95</v>
      </c>
      <c r="D2" s="8">
        <v>9.26</v>
      </c>
      <c r="F2" t="s">
        <v>8</v>
      </c>
      <c r="G2">
        <v>1336</v>
      </c>
      <c r="H2" s="10">
        <f>0.9937*EXP(-0.0001*G2)</f>
        <v>0.86942784879089452</v>
      </c>
      <c r="I2">
        <v>18.899999999999999</v>
      </c>
      <c r="J2">
        <f>13.386*EXP(-0.019*I2)</f>
        <v>9.3475042700260804</v>
      </c>
      <c r="K2">
        <f>J2*H2</f>
        <v>8.1269805290524761</v>
      </c>
      <c r="L2">
        <v>7.91</v>
      </c>
      <c r="M2" s="13">
        <f>100*L2/K2</f>
        <v>97.33012121443123</v>
      </c>
    </row>
    <row r="3" spans="1:13" x14ac:dyDescent="0.25">
      <c r="A3" s="2">
        <v>2151</v>
      </c>
      <c r="B3" s="6">
        <v>0.76</v>
      </c>
      <c r="C3" s="5">
        <v>18.899999999999999</v>
      </c>
      <c r="D3" s="8">
        <v>9.26</v>
      </c>
      <c r="F3" t="s">
        <v>40</v>
      </c>
      <c r="G3">
        <v>1207</v>
      </c>
      <c r="H3" s="10">
        <f t="shared" ref="H3:H4" si="0">0.9937*EXP(-0.0001*G3)</f>
        <v>0.8807161208554346</v>
      </c>
      <c r="I3">
        <v>18.7</v>
      </c>
      <c r="J3">
        <f t="shared" ref="J3:J4" si="1">13.386*EXP(-0.019*I3)</f>
        <v>9.383092360800326</v>
      </c>
      <c r="K3">
        <f t="shared" ref="K3:K4" si="2">J3*H3</f>
        <v>8.263840705632326</v>
      </c>
      <c r="L3">
        <v>8.2200000000000006</v>
      </c>
      <c r="M3" s="13">
        <f t="shared" ref="M3:M4" si="3">100*L3/K3</f>
        <v>99.469487527724922</v>
      </c>
    </row>
    <row r="4" spans="1:13" x14ac:dyDescent="0.25">
      <c r="A4" s="3">
        <v>2181</v>
      </c>
      <c r="B4" s="6">
        <v>0.76</v>
      </c>
      <c r="C4" s="5">
        <v>17.3</v>
      </c>
      <c r="D4" s="8">
        <v>9.65</v>
      </c>
      <c r="F4" t="s">
        <v>41</v>
      </c>
      <c r="G4">
        <v>1088</v>
      </c>
      <c r="H4" s="10">
        <f t="shared" si="0"/>
        <v>0.89125924989397876</v>
      </c>
      <c r="I4">
        <v>21.7</v>
      </c>
      <c r="J4">
        <f t="shared" si="1"/>
        <v>8.8632133963303197</v>
      </c>
      <c r="K4">
        <f t="shared" si="2"/>
        <v>7.8994209232636248</v>
      </c>
      <c r="L4">
        <v>7.63</v>
      </c>
      <c r="M4" s="13">
        <f t="shared" si="3"/>
        <v>96.589358563357649</v>
      </c>
    </row>
    <row r="5" spans="1:13" x14ac:dyDescent="0.25">
      <c r="A5" s="4">
        <v>2149</v>
      </c>
      <c r="B5" s="6">
        <v>0.76</v>
      </c>
      <c r="C5" s="5">
        <v>18.05</v>
      </c>
      <c r="D5" s="8">
        <v>9.4499999999999993</v>
      </c>
    </row>
    <row r="6" spans="1:13" x14ac:dyDescent="0.25">
      <c r="A6" s="4">
        <v>2092</v>
      </c>
      <c r="B6" s="6">
        <v>0.78</v>
      </c>
      <c r="C6" s="5">
        <v>16</v>
      </c>
      <c r="D6" s="8">
        <v>9.85</v>
      </c>
    </row>
    <row r="7" spans="1:13" x14ac:dyDescent="0.25">
      <c r="A7" s="4">
        <v>2040</v>
      </c>
      <c r="B7" s="6">
        <v>0.78</v>
      </c>
      <c r="C7" s="5">
        <v>17.05</v>
      </c>
      <c r="D7" s="8">
        <v>9.65</v>
      </c>
    </row>
    <row r="8" spans="1:13" x14ac:dyDescent="0.25">
      <c r="A8" s="4">
        <v>1071.5</v>
      </c>
      <c r="B8" s="6">
        <v>0.88</v>
      </c>
      <c r="C8" s="5">
        <v>27.7</v>
      </c>
      <c r="D8" s="8">
        <v>7.81</v>
      </c>
    </row>
    <row r="9" spans="1:13" x14ac:dyDescent="0.25">
      <c r="A9" s="4">
        <v>1088.8</v>
      </c>
      <c r="B9" s="6">
        <v>0.88</v>
      </c>
      <c r="C9" s="5">
        <v>27</v>
      </c>
      <c r="D9" s="8">
        <v>7.95</v>
      </c>
    </row>
    <row r="10" spans="1:13" x14ac:dyDescent="0.25">
      <c r="A10" s="4">
        <v>2139</v>
      </c>
      <c r="B10" s="6">
        <v>0.78</v>
      </c>
      <c r="C10" s="5">
        <v>17.8</v>
      </c>
      <c r="D10" s="8">
        <v>9.4499999999999993</v>
      </c>
    </row>
    <row r="11" spans="1:13" x14ac:dyDescent="0.25">
      <c r="A11" s="4">
        <v>2125</v>
      </c>
      <c r="B11" s="6">
        <v>0.78</v>
      </c>
      <c r="C11" s="5">
        <v>17.899999999999999</v>
      </c>
      <c r="D11" s="8">
        <v>9.4499999999999993</v>
      </c>
    </row>
    <row r="12" spans="1:13" x14ac:dyDescent="0.25">
      <c r="A12" s="4">
        <v>2125</v>
      </c>
      <c r="B12" s="6">
        <v>0.78</v>
      </c>
      <c r="C12" s="5">
        <v>18.899999999999999</v>
      </c>
      <c r="D12" s="8">
        <v>9.26</v>
      </c>
    </row>
    <row r="13" spans="1:13" x14ac:dyDescent="0.25">
      <c r="A13" s="4">
        <v>2152</v>
      </c>
      <c r="B13" s="6">
        <v>0.78</v>
      </c>
      <c r="C13" s="5">
        <v>17.55</v>
      </c>
      <c r="D13" s="8">
        <v>9.4499999999999993</v>
      </c>
    </row>
    <row r="14" spans="1:13" x14ac:dyDescent="0.25">
      <c r="A14" s="5">
        <v>2052</v>
      </c>
      <c r="B14" s="6">
        <v>0.78</v>
      </c>
      <c r="C14" s="5">
        <v>18.75</v>
      </c>
      <c r="D14" s="8">
        <v>9.26</v>
      </c>
    </row>
    <row r="15" spans="1:13" x14ac:dyDescent="0.25">
      <c r="A15" s="4">
        <v>2193</v>
      </c>
      <c r="B15" s="6">
        <v>0.76</v>
      </c>
      <c r="C15" s="5">
        <v>18.3</v>
      </c>
      <c r="D15" s="8">
        <v>9.4499999999999993</v>
      </c>
    </row>
    <row r="16" spans="1:13" x14ac:dyDescent="0.25">
      <c r="A16" s="4">
        <v>2112</v>
      </c>
      <c r="B16" s="6">
        <v>0.78</v>
      </c>
      <c r="C16" s="5">
        <v>19.5</v>
      </c>
      <c r="D16" s="8">
        <v>9.07</v>
      </c>
    </row>
    <row r="17" spans="1:8" x14ac:dyDescent="0.25">
      <c r="A17" s="4">
        <v>2043</v>
      </c>
      <c r="B17" s="6">
        <v>0.78</v>
      </c>
      <c r="C17" s="5">
        <v>20.399999999999999</v>
      </c>
      <c r="D17" s="8">
        <v>9.07</v>
      </c>
    </row>
    <row r="18" spans="1:8" x14ac:dyDescent="0.25">
      <c r="A18" s="2">
        <v>2115</v>
      </c>
      <c r="B18" s="6">
        <v>0.78</v>
      </c>
      <c r="C18" s="2">
        <v>17.5</v>
      </c>
      <c r="D18" s="8">
        <v>9.4499999999999993</v>
      </c>
    </row>
    <row r="19" spans="1:8" x14ac:dyDescent="0.25">
      <c r="A19" s="4">
        <v>2016</v>
      </c>
      <c r="B19" s="6">
        <v>0.78</v>
      </c>
      <c r="C19" s="5">
        <v>19.5</v>
      </c>
      <c r="D19" s="8">
        <v>9.07</v>
      </c>
    </row>
    <row r="20" spans="1:8" x14ac:dyDescent="0.25">
      <c r="A20" s="3">
        <v>1643</v>
      </c>
      <c r="B20" s="6">
        <v>0.82</v>
      </c>
      <c r="C20" s="5">
        <v>19.399999999999999</v>
      </c>
      <c r="D20" s="8">
        <v>9.26</v>
      </c>
    </row>
    <row r="21" spans="1:8" x14ac:dyDescent="0.25">
      <c r="A21" s="4">
        <v>1628</v>
      </c>
      <c r="B21" s="6">
        <v>0.82</v>
      </c>
      <c r="C21" s="5">
        <v>19.600000000000001</v>
      </c>
      <c r="D21" s="8">
        <v>9.07</v>
      </c>
      <c r="H21" s="9"/>
    </row>
    <row r="22" spans="1:8" x14ac:dyDescent="0.25">
      <c r="A22" s="4">
        <v>1873</v>
      </c>
      <c r="B22" s="6">
        <v>0.8</v>
      </c>
      <c r="C22" s="5">
        <v>19</v>
      </c>
      <c r="D22" s="8">
        <v>9.26</v>
      </c>
    </row>
    <row r="23" spans="1:8" x14ac:dyDescent="0.25">
      <c r="A23" s="4">
        <v>1832</v>
      </c>
      <c r="B23" s="6">
        <v>0.8</v>
      </c>
      <c r="C23" s="5">
        <v>20.8</v>
      </c>
      <c r="D23" s="8">
        <v>8.9</v>
      </c>
    </row>
    <row r="24" spans="1:8" x14ac:dyDescent="0.25">
      <c r="A24" s="4">
        <v>996</v>
      </c>
      <c r="B24" s="6">
        <v>0.88</v>
      </c>
      <c r="C24" s="5">
        <v>22.3</v>
      </c>
      <c r="D24" s="8">
        <v>8.7200000000000006</v>
      </c>
    </row>
    <row r="25" spans="1:8" x14ac:dyDescent="0.25">
      <c r="A25" s="4">
        <v>997</v>
      </c>
      <c r="B25" s="6">
        <v>0.88</v>
      </c>
      <c r="C25" s="5">
        <v>23.5</v>
      </c>
      <c r="D25" s="8">
        <v>8.4</v>
      </c>
    </row>
    <row r="26" spans="1:8" x14ac:dyDescent="0.25">
      <c r="A26" s="4">
        <v>1005</v>
      </c>
      <c r="B26" s="6">
        <v>0.88</v>
      </c>
      <c r="C26" s="5">
        <v>22.4</v>
      </c>
      <c r="D26" s="8">
        <v>8.7200000000000006</v>
      </c>
    </row>
    <row r="27" spans="1:8" x14ac:dyDescent="0.25">
      <c r="A27" s="4">
        <v>1012</v>
      </c>
      <c r="B27" s="6">
        <v>0.88</v>
      </c>
      <c r="C27" s="5">
        <v>24.9</v>
      </c>
      <c r="D27" s="8">
        <v>8.24</v>
      </c>
    </row>
    <row r="28" spans="1:8" x14ac:dyDescent="0.25">
      <c r="A28" s="4">
        <v>1040</v>
      </c>
      <c r="B28" s="6">
        <v>0.88</v>
      </c>
      <c r="C28" s="5">
        <v>21.6</v>
      </c>
      <c r="D28" s="8">
        <v>8.7200000000000006</v>
      </c>
    </row>
    <row r="29" spans="1:8" x14ac:dyDescent="0.25">
      <c r="A29" s="4">
        <v>1012</v>
      </c>
      <c r="B29" s="6">
        <v>0.88</v>
      </c>
      <c r="C29" s="5">
        <v>23.6</v>
      </c>
      <c r="D29" s="8">
        <v>8.4</v>
      </c>
    </row>
    <row r="30" spans="1:8" x14ac:dyDescent="0.25">
      <c r="A30" s="4">
        <v>1433</v>
      </c>
      <c r="B30" s="6">
        <v>0.84</v>
      </c>
      <c r="C30" s="5">
        <v>18.399999999999999</v>
      </c>
      <c r="D30" s="8">
        <v>9.4499999999999993</v>
      </c>
    </row>
    <row r="31" spans="1:8" x14ac:dyDescent="0.25">
      <c r="A31" s="4">
        <v>1427</v>
      </c>
      <c r="B31" s="6">
        <v>0.84</v>
      </c>
      <c r="C31" s="5">
        <v>18.600000000000001</v>
      </c>
      <c r="D31" s="8">
        <v>9.26</v>
      </c>
    </row>
    <row r="32" spans="1:8" x14ac:dyDescent="0.25">
      <c r="A32" s="4">
        <v>1061</v>
      </c>
      <c r="B32" s="6">
        <v>0.88</v>
      </c>
      <c r="C32" s="5">
        <v>23.6</v>
      </c>
      <c r="D32" s="8">
        <v>8.4</v>
      </c>
    </row>
    <row r="33" spans="1:4" x14ac:dyDescent="0.25">
      <c r="A33" s="4">
        <v>1049</v>
      </c>
      <c r="B33" s="6">
        <v>0.88</v>
      </c>
      <c r="C33" s="5">
        <v>24.3</v>
      </c>
      <c r="D33" s="8">
        <v>8.4</v>
      </c>
    </row>
    <row r="34" spans="1:4" x14ac:dyDescent="0.25">
      <c r="A34" s="4">
        <v>1061</v>
      </c>
      <c r="B34" s="6">
        <v>0.88</v>
      </c>
      <c r="C34" s="5">
        <v>27.3</v>
      </c>
      <c r="D34" s="8">
        <v>7.95</v>
      </c>
    </row>
    <row r="35" spans="1:4" x14ac:dyDescent="0.25">
      <c r="A35" s="4">
        <v>1049</v>
      </c>
      <c r="B35" s="6">
        <v>0.88</v>
      </c>
      <c r="C35" s="5">
        <v>27.3</v>
      </c>
      <c r="D35" s="8">
        <v>7.95</v>
      </c>
    </row>
    <row r="36" spans="1:4" x14ac:dyDescent="0.25">
      <c r="A36" s="4">
        <v>2569</v>
      </c>
      <c r="B36" s="6">
        <v>0.74</v>
      </c>
      <c r="C36" s="5">
        <v>17.2</v>
      </c>
      <c r="D36" s="8">
        <v>9.65</v>
      </c>
    </row>
    <row r="37" spans="1:4" x14ac:dyDescent="0.25">
      <c r="A37" s="4">
        <v>2431</v>
      </c>
      <c r="B37" s="6">
        <v>0.74</v>
      </c>
      <c r="C37" s="5">
        <v>20.100000000000001</v>
      </c>
      <c r="D37" s="8">
        <v>9.07</v>
      </c>
    </row>
    <row r="38" spans="1:4" x14ac:dyDescent="0.25">
      <c r="A38" s="4">
        <v>2608</v>
      </c>
      <c r="B38" s="6">
        <v>0.74</v>
      </c>
      <c r="C38" s="5">
        <v>17</v>
      </c>
      <c r="D38" s="8">
        <v>9.65</v>
      </c>
    </row>
    <row r="39" spans="1:4" x14ac:dyDescent="0.25">
      <c r="A39" s="4">
        <v>2446</v>
      </c>
      <c r="B39" s="6">
        <v>0.74</v>
      </c>
      <c r="C39" s="5">
        <v>18.5</v>
      </c>
      <c r="D39" s="8">
        <v>9.26</v>
      </c>
    </row>
    <row r="40" spans="1:4" x14ac:dyDescent="0.25">
      <c r="A40" s="4">
        <v>2597</v>
      </c>
      <c r="B40" s="6">
        <v>0.74</v>
      </c>
      <c r="C40" s="5">
        <v>22.7</v>
      </c>
      <c r="D40" s="8">
        <v>8.56</v>
      </c>
    </row>
    <row r="41" spans="1:4" x14ac:dyDescent="0.25">
      <c r="A41" s="4">
        <v>2464</v>
      </c>
      <c r="B41" s="6">
        <v>0.74</v>
      </c>
      <c r="C41" s="5">
        <v>18.899999999999999</v>
      </c>
      <c r="D41" s="8">
        <v>9.26</v>
      </c>
    </row>
    <row r="42" spans="1:4" x14ac:dyDescent="0.25">
      <c r="A42" s="4">
        <v>2595</v>
      </c>
      <c r="B42" s="6">
        <v>0.74</v>
      </c>
      <c r="C42" s="5">
        <v>19.3</v>
      </c>
      <c r="D42" s="8">
        <v>9.26</v>
      </c>
    </row>
    <row r="43" spans="1:4" x14ac:dyDescent="0.25">
      <c r="A43" s="4">
        <v>2465</v>
      </c>
      <c r="B43" s="6">
        <v>0.74</v>
      </c>
      <c r="C43" s="5">
        <v>19.7</v>
      </c>
      <c r="D43" s="8">
        <v>9.07</v>
      </c>
    </row>
    <row r="44" spans="1:4" x14ac:dyDescent="0.25">
      <c r="A44" s="4">
        <v>2641</v>
      </c>
      <c r="B44" s="6">
        <v>0.72</v>
      </c>
      <c r="C44" s="5">
        <v>16.100000000000001</v>
      </c>
      <c r="D44" s="8">
        <v>9.85</v>
      </c>
    </row>
    <row r="45" spans="1:4" x14ac:dyDescent="0.25">
      <c r="A45" s="4">
        <v>2350</v>
      </c>
      <c r="B45" s="6">
        <v>0.76</v>
      </c>
      <c r="C45" s="5">
        <v>18.8</v>
      </c>
      <c r="D45" s="8">
        <v>9.26</v>
      </c>
    </row>
    <row r="46" spans="1:4" x14ac:dyDescent="0.25">
      <c r="A46" s="4">
        <v>2482</v>
      </c>
      <c r="B46" s="6">
        <v>0.74</v>
      </c>
      <c r="C46" s="5">
        <v>15.7</v>
      </c>
      <c r="D46" s="8">
        <v>9.85</v>
      </c>
    </row>
    <row r="47" spans="1:4" x14ac:dyDescent="0.25">
      <c r="A47" s="4">
        <v>2473</v>
      </c>
      <c r="B47" s="6">
        <v>0.74</v>
      </c>
      <c r="C47" s="5">
        <v>15.2</v>
      </c>
      <c r="D47" s="8">
        <v>10.07</v>
      </c>
    </row>
    <row r="48" spans="1:4" x14ac:dyDescent="0.25">
      <c r="A48" s="4">
        <v>2154</v>
      </c>
      <c r="B48" s="6">
        <v>0.78</v>
      </c>
      <c r="C48" s="5">
        <v>17</v>
      </c>
      <c r="D48" s="8">
        <v>9.65</v>
      </c>
    </row>
    <row r="49" spans="1:4" x14ac:dyDescent="0.25">
      <c r="A49" s="4">
        <v>2147</v>
      </c>
      <c r="B49" s="6">
        <v>0.78</v>
      </c>
      <c r="C49" s="5">
        <v>20</v>
      </c>
      <c r="D49" s="8">
        <v>9.07</v>
      </c>
    </row>
    <row r="50" spans="1:4" x14ac:dyDescent="0.25">
      <c r="A50" s="4">
        <v>2166</v>
      </c>
      <c r="B50" s="6">
        <v>0.76</v>
      </c>
      <c r="C50" s="5">
        <v>17.2</v>
      </c>
      <c r="D50" s="8">
        <v>9.65</v>
      </c>
    </row>
    <row r="51" spans="1:4" x14ac:dyDescent="0.25">
      <c r="A51" s="4">
        <v>254</v>
      </c>
      <c r="B51" s="6">
        <v>0.96</v>
      </c>
      <c r="C51" s="5">
        <v>27.4</v>
      </c>
      <c r="D51" s="8">
        <v>7.95</v>
      </c>
    </row>
    <row r="52" spans="1:4" x14ac:dyDescent="0.25">
      <c r="A52" s="4">
        <v>255</v>
      </c>
      <c r="B52" s="6">
        <v>0.96</v>
      </c>
      <c r="C52" s="5">
        <v>28</v>
      </c>
      <c r="D52" s="8">
        <v>7.81</v>
      </c>
    </row>
    <row r="53" spans="1:4" x14ac:dyDescent="0.25">
      <c r="A53" s="4">
        <v>262</v>
      </c>
      <c r="B53" s="6">
        <v>0.96</v>
      </c>
      <c r="C53" s="5">
        <v>27.3</v>
      </c>
      <c r="D53" s="8">
        <v>7.95</v>
      </c>
    </row>
    <row r="54" spans="1:4" x14ac:dyDescent="0.25">
      <c r="A54" s="4">
        <v>254</v>
      </c>
      <c r="B54" s="6">
        <v>0.96</v>
      </c>
      <c r="C54" s="5">
        <v>28.8</v>
      </c>
      <c r="D54" s="8">
        <v>7.67</v>
      </c>
    </row>
    <row r="55" spans="1:4" x14ac:dyDescent="0.25">
      <c r="A55" s="4">
        <v>310</v>
      </c>
      <c r="B55" s="6">
        <v>0.96</v>
      </c>
      <c r="C55" s="5">
        <v>26.1</v>
      </c>
      <c r="D55" s="8">
        <v>8.09</v>
      </c>
    </row>
    <row r="56" spans="1:4" x14ac:dyDescent="0.25">
      <c r="A56" s="4">
        <v>297</v>
      </c>
      <c r="B56" s="6">
        <v>0.96</v>
      </c>
      <c r="C56" s="5">
        <v>25.6</v>
      </c>
      <c r="D56" s="8">
        <v>8.09</v>
      </c>
    </row>
    <row r="57" spans="1:4" x14ac:dyDescent="0.25">
      <c r="A57" s="4">
        <v>392</v>
      </c>
      <c r="B57" s="6">
        <v>0.96</v>
      </c>
      <c r="C57" s="5">
        <v>24.7</v>
      </c>
      <c r="D57" s="8">
        <v>8.24</v>
      </c>
    </row>
    <row r="58" spans="1:4" x14ac:dyDescent="0.25">
      <c r="A58" s="4">
        <v>349</v>
      </c>
      <c r="B58" s="6">
        <v>0.96</v>
      </c>
      <c r="C58" s="5">
        <v>26.5</v>
      </c>
      <c r="D58" s="8">
        <v>7.95</v>
      </c>
    </row>
    <row r="59" spans="1:4" x14ac:dyDescent="0.25">
      <c r="A59" s="4">
        <v>986</v>
      </c>
      <c r="B59" s="6">
        <v>0.88</v>
      </c>
      <c r="C59" s="5">
        <v>23</v>
      </c>
      <c r="D59" s="8">
        <v>8.56</v>
      </c>
    </row>
    <row r="60" spans="1:4" x14ac:dyDescent="0.25">
      <c r="A60" s="4">
        <v>979</v>
      </c>
      <c r="B60" s="6">
        <v>0.88</v>
      </c>
      <c r="C60" s="5">
        <v>21</v>
      </c>
      <c r="D60" s="8">
        <v>8.9</v>
      </c>
    </row>
    <row r="61" spans="1:4" x14ac:dyDescent="0.25">
      <c r="A61" s="4">
        <v>1595</v>
      </c>
      <c r="B61" s="6">
        <v>0.82</v>
      </c>
      <c r="C61" s="5">
        <v>20.5</v>
      </c>
      <c r="D61" s="8">
        <v>8.9</v>
      </c>
    </row>
    <row r="62" spans="1:4" x14ac:dyDescent="0.25">
      <c r="A62" s="4">
        <v>1551</v>
      </c>
      <c r="B62" s="6">
        <v>0.82</v>
      </c>
      <c r="C62" s="5">
        <v>23.8</v>
      </c>
      <c r="D62" s="8">
        <v>8.4</v>
      </c>
    </row>
    <row r="63" spans="1:4" x14ac:dyDescent="0.25">
      <c r="A63" s="4">
        <v>1718</v>
      </c>
      <c r="B63" s="6">
        <v>0.82</v>
      </c>
      <c r="C63" s="5">
        <v>22.1</v>
      </c>
      <c r="D63" s="8">
        <v>8.7200000000000006</v>
      </c>
    </row>
    <row r="64" spans="1:4" x14ac:dyDescent="0.25">
      <c r="A64" s="4">
        <v>1647</v>
      </c>
      <c r="B64" s="6">
        <v>0.82</v>
      </c>
      <c r="C64" s="5">
        <v>22</v>
      </c>
      <c r="D64" s="8">
        <v>8.7200000000000006</v>
      </c>
    </row>
    <row r="65" spans="1:4" x14ac:dyDescent="0.25">
      <c r="A65" s="4">
        <v>1707</v>
      </c>
      <c r="B65" s="6">
        <v>0.82</v>
      </c>
      <c r="C65" s="5">
        <v>22.5</v>
      </c>
      <c r="D65" s="8">
        <v>8.56</v>
      </c>
    </row>
    <row r="66" spans="1:4" x14ac:dyDescent="0.25">
      <c r="A66" s="4">
        <v>1162</v>
      </c>
      <c r="B66" s="6">
        <v>0.88</v>
      </c>
      <c r="C66" s="5">
        <v>24.7</v>
      </c>
      <c r="D66" s="8">
        <v>8.24</v>
      </c>
    </row>
    <row r="67" spans="1:4" x14ac:dyDescent="0.25">
      <c r="A67" s="4">
        <v>1855</v>
      </c>
      <c r="B67" s="6">
        <v>0.8</v>
      </c>
      <c r="C67" s="5">
        <v>19</v>
      </c>
      <c r="D67" s="8">
        <v>9.26</v>
      </c>
    </row>
    <row r="68" spans="1:4" x14ac:dyDescent="0.25">
      <c r="A68" s="4">
        <v>1712</v>
      </c>
      <c r="B68" s="6">
        <v>0.82</v>
      </c>
      <c r="C68" s="5">
        <v>21</v>
      </c>
      <c r="D68" s="8">
        <v>8.9</v>
      </c>
    </row>
    <row r="69" spans="1:4" x14ac:dyDescent="0.25">
      <c r="A69" s="4">
        <v>1846</v>
      </c>
      <c r="B69" s="6">
        <v>0.8</v>
      </c>
      <c r="C69" s="5">
        <v>18.3</v>
      </c>
      <c r="D69" s="8">
        <v>9.4499999999999993</v>
      </c>
    </row>
    <row r="70" spans="1:4" x14ac:dyDescent="0.25">
      <c r="A70" s="4">
        <v>1638</v>
      </c>
      <c r="B70" s="6">
        <v>0.82</v>
      </c>
      <c r="C70" s="5">
        <v>22.3</v>
      </c>
      <c r="D70" s="8">
        <v>8.7200000000000006</v>
      </c>
    </row>
    <row r="71" spans="1:4" x14ac:dyDescent="0.25">
      <c r="A71" s="4">
        <v>2090</v>
      </c>
      <c r="B71" s="6">
        <v>0.78</v>
      </c>
      <c r="C71" s="5">
        <v>18.3</v>
      </c>
      <c r="D71" s="8">
        <v>9.4499999999999993</v>
      </c>
    </row>
    <row r="72" spans="1:4" x14ac:dyDescent="0.25">
      <c r="A72" s="4">
        <v>2109</v>
      </c>
      <c r="B72" s="6">
        <v>0.78</v>
      </c>
      <c r="C72" s="5">
        <v>19.5</v>
      </c>
      <c r="D72" s="8">
        <v>9.07</v>
      </c>
    </row>
    <row r="73" spans="1:4" x14ac:dyDescent="0.25">
      <c r="A73" s="4">
        <v>2091</v>
      </c>
      <c r="B73" s="6">
        <v>0.78</v>
      </c>
      <c r="C73" s="5">
        <v>18</v>
      </c>
      <c r="D73" s="8">
        <v>9.4499999999999993</v>
      </c>
    </row>
    <row r="74" spans="1:4" x14ac:dyDescent="0.25">
      <c r="A74" s="4">
        <v>1217</v>
      </c>
      <c r="B74" s="6">
        <v>0.86</v>
      </c>
      <c r="C74" s="5">
        <v>23.2</v>
      </c>
      <c r="D74" s="8">
        <v>8.56</v>
      </c>
    </row>
    <row r="75" spans="1:4" x14ac:dyDescent="0.25">
      <c r="A75" s="4">
        <v>1223</v>
      </c>
      <c r="B75" s="6">
        <v>0.86</v>
      </c>
      <c r="C75" s="5">
        <v>23.3</v>
      </c>
      <c r="D75" s="8">
        <v>8.56</v>
      </c>
    </row>
    <row r="76" spans="1:4" x14ac:dyDescent="0.25">
      <c r="A76" s="4">
        <v>2185</v>
      </c>
      <c r="B76" s="6">
        <v>0.76</v>
      </c>
      <c r="C76" s="5">
        <v>23.7</v>
      </c>
      <c r="D76" s="8">
        <v>8.4</v>
      </c>
    </row>
    <row r="77" spans="1:4" x14ac:dyDescent="0.25">
      <c r="A77" s="4">
        <v>1129</v>
      </c>
      <c r="B77" s="6">
        <v>0.88</v>
      </c>
      <c r="C77" s="5">
        <v>24.2</v>
      </c>
      <c r="D77" s="8">
        <v>8.4</v>
      </c>
    </row>
    <row r="78" spans="1:4" x14ac:dyDescent="0.25">
      <c r="A78" s="4">
        <v>1326</v>
      </c>
      <c r="B78" s="6">
        <v>0.86</v>
      </c>
      <c r="C78" s="5">
        <v>22.3</v>
      </c>
      <c r="D78" s="8">
        <v>8.7200000000000006</v>
      </c>
    </row>
    <row r="79" spans="1:4" x14ac:dyDescent="0.25">
      <c r="A79" s="4">
        <v>1191</v>
      </c>
      <c r="B79" s="6">
        <v>0.86</v>
      </c>
      <c r="C79" s="5">
        <v>22.9</v>
      </c>
      <c r="D79" s="8">
        <v>8.56</v>
      </c>
    </row>
    <row r="80" spans="1:4" x14ac:dyDescent="0.25">
      <c r="A80" s="4">
        <v>1290</v>
      </c>
      <c r="B80" s="6">
        <v>0.86</v>
      </c>
      <c r="C80" s="5">
        <v>20.8</v>
      </c>
      <c r="D80" s="8">
        <v>8.9</v>
      </c>
    </row>
    <row r="81" spans="1:4" x14ac:dyDescent="0.25">
      <c r="A81" s="4">
        <v>1232</v>
      </c>
      <c r="B81" s="6">
        <v>0.86</v>
      </c>
      <c r="C81" s="5">
        <v>22.2</v>
      </c>
      <c r="D81" s="8">
        <v>8.7200000000000006</v>
      </c>
    </row>
    <row r="82" spans="1:4" x14ac:dyDescent="0.25">
      <c r="A82" s="4">
        <v>1000</v>
      </c>
      <c r="B82" s="6">
        <v>0.88</v>
      </c>
      <c r="C82" s="5">
        <v>23.5</v>
      </c>
      <c r="D82" s="8">
        <v>8.4</v>
      </c>
    </row>
    <row r="83" spans="1:4" x14ac:dyDescent="0.25">
      <c r="A83" s="4">
        <v>992</v>
      </c>
      <c r="B83" s="6">
        <v>0.88</v>
      </c>
      <c r="C83" s="5">
        <v>25</v>
      </c>
      <c r="D83" s="8">
        <v>8.24</v>
      </c>
    </row>
    <row r="84" spans="1:4" x14ac:dyDescent="0.25">
      <c r="A84" s="4">
        <v>829</v>
      </c>
      <c r="B84" s="6">
        <v>0.9</v>
      </c>
      <c r="C84" s="5">
        <v>25.3</v>
      </c>
      <c r="D84" s="8">
        <v>8.24</v>
      </c>
    </row>
    <row r="85" spans="1:4" x14ac:dyDescent="0.25">
      <c r="A85" s="4">
        <v>836</v>
      </c>
      <c r="B85" s="6">
        <v>0.9</v>
      </c>
      <c r="C85" s="5">
        <v>25.5</v>
      </c>
      <c r="D85" s="8">
        <v>8.09</v>
      </c>
    </row>
    <row r="86" spans="1:4" x14ac:dyDescent="0.25">
      <c r="A86" s="4">
        <v>819</v>
      </c>
      <c r="B86" s="6">
        <v>0.9</v>
      </c>
      <c r="C86" s="5">
        <v>25.1</v>
      </c>
      <c r="D86" s="8">
        <v>8.24</v>
      </c>
    </row>
    <row r="87" spans="1:4" x14ac:dyDescent="0.25">
      <c r="A87" s="4">
        <v>814</v>
      </c>
      <c r="B87" s="6">
        <v>0.9</v>
      </c>
      <c r="C87" s="5">
        <v>25</v>
      </c>
      <c r="D87" s="8">
        <v>8.24</v>
      </c>
    </row>
    <row r="88" spans="1:4" x14ac:dyDescent="0.25">
      <c r="A88" s="4">
        <v>809</v>
      </c>
      <c r="B88" s="6">
        <v>0.9</v>
      </c>
      <c r="C88" s="5">
        <v>24.6</v>
      </c>
      <c r="D88" s="8">
        <v>8.24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A16" sqref="A16"/>
    </sheetView>
  </sheetViews>
  <sheetFormatPr baseColWidth="10" defaultRowHeight="15" x14ac:dyDescent="0.25"/>
  <sheetData>
    <row r="1" spans="1:7" x14ac:dyDescent="0.25">
      <c r="A1" s="44" t="s">
        <v>12</v>
      </c>
      <c r="B1" s="44" t="s">
        <v>13</v>
      </c>
      <c r="C1" s="44"/>
      <c r="D1" s="44" t="s">
        <v>9</v>
      </c>
      <c r="E1" s="44"/>
      <c r="F1" s="44" t="s">
        <v>10</v>
      </c>
      <c r="G1" s="44"/>
    </row>
    <row r="2" spans="1:7" x14ac:dyDescent="0.25">
      <c r="A2" s="44"/>
      <c r="B2" s="16" t="s">
        <v>2</v>
      </c>
      <c r="C2" s="16" t="s">
        <v>3</v>
      </c>
      <c r="D2" s="16" t="s">
        <v>2</v>
      </c>
      <c r="E2" s="16" t="s">
        <v>3</v>
      </c>
      <c r="F2" s="16" t="s">
        <v>2</v>
      </c>
      <c r="G2" s="16" t="s">
        <v>3</v>
      </c>
    </row>
    <row r="3" spans="1:7" ht="22.5" x14ac:dyDescent="0.25">
      <c r="A3" s="14" t="s">
        <v>14</v>
      </c>
      <c r="B3" s="14">
        <v>17.3</v>
      </c>
      <c r="C3" s="14">
        <v>6.41</v>
      </c>
      <c r="D3" s="14">
        <v>2.68</v>
      </c>
      <c r="E3" s="14">
        <v>7.6</v>
      </c>
      <c r="F3" s="14">
        <v>2.6</v>
      </c>
      <c r="G3" s="14">
        <v>10.1</v>
      </c>
    </row>
    <row r="4" spans="1:7" ht="45" x14ac:dyDescent="0.25">
      <c r="A4" s="14" t="s">
        <v>16</v>
      </c>
      <c r="B4" s="14">
        <v>88</v>
      </c>
      <c r="C4" s="14">
        <v>7</v>
      </c>
      <c r="D4" s="14">
        <v>15</v>
      </c>
      <c r="E4" s="14">
        <v>30</v>
      </c>
      <c r="F4" s="14">
        <v>29</v>
      </c>
      <c r="G4" s="14">
        <v>24</v>
      </c>
    </row>
    <row r="5" spans="1:7" ht="33.75" x14ac:dyDescent="0.25">
      <c r="A5" s="14" t="s">
        <v>17</v>
      </c>
      <c r="B5" s="14">
        <v>0.1</v>
      </c>
      <c r="C5" s="14" t="s">
        <v>47</v>
      </c>
      <c r="D5" s="14" t="s">
        <v>42</v>
      </c>
      <c r="E5" s="14"/>
      <c r="F5" s="14" t="s">
        <v>42</v>
      </c>
      <c r="G5" s="14" t="s">
        <v>46</v>
      </c>
    </row>
    <row r="6" spans="1:7" ht="45" x14ac:dyDescent="0.25">
      <c r="A6" s="14" t="s">
        <v>18</v>
      </c>
      <c r="B6" s="14">
        <v>23.6</v>
      </c>
      <c r="C6" s="14">
        <v>7.5</v>
      </c>
      <c r="D6" s="14">
        <v>2.7</v>
      </c>
      <c r="E6" s="14">
        <v>5.7</v>
      </c>
      <c r="F6" s="14">
        <v>2.6</v>
      </c>
      <c r="G6" s="14">
        <v>11.7</v>
      </c>
    </row>
    <row r="7" spans="1:7" ht="45" x14ac:dyDescent="0.25">
      <c r="A7" s="14" t="s">
        <v>19</v>
      </c>
      <c r="B7" s="14">
        <v>4</v>
      </c>
      <c r="C7" s="14" t="s">
        <v>46</v>
      </c>
      <c r="D7" s="14">
        <v>1</v>
      </c>
      <c r="E7" s="14" t="s">
        <v>46</v>
      </c>
      <c r="F7" s="14">
        <v>1</v>
      </c>
      <c r="G7" s="14" t="s">
        <v>46</v>
      </c>
    </row>
    <row r="8" spans="1:7" ht="22.5" x14ac:dyDescent="0.25">
      <c r="A8" s="14" t="s">
        <v>20</v>
      </c>
      <c r="B8" s="14">
        <v>32.1</v>
      </c>
      <c r="C8" s="14">
        <v>3.39</v>
      </c>
      <c r="D8" s="14">
        <v>14.01</v>
      </c>
      <c r="E8" s="14">
        <v>2</v>
      </c>
      <c r="F8" s="14">
        <v>5.14</v>
      </c>
      <c r="G8" s="14">
        <v>2</v>
      </c>
    </row>
    <row r="9" spans="1:7" ht="22.5" x14ac:dyDescent="0.25">
      <c r="A9" s="14" t="s">
        <v>21</v>
      </c>
      <c r="B9" s="14">
        <v>58.77</v>
      </c>
      <c r="C9" s="14">
        <v>19.8</v>
      </c>
      <c r="D9" s="14">
        <v>22.41</v>
      </c>
      <c r="E9" s="14">
        <v>11.6</v>
      </c>
      <c r="F9" s="14" t="s">
        <v>15</v>
      </c>
      <c r="G9" s="14">
        <v>11.9</v>
      </c>
    </row>
    <row r="10" spans="1:7" ht="33.75" x14ac:dyDescent="0.25">
      <c r="A10" s="14" t="s">
        <v>22</v>
      </c>
      <c r="B10" s="14" t="s">
        <v>43</v>
      </c>
      <c r="C10" s="14">
        <v>0.19</v>
      </c>
      <c r="D10" s="14" t="s">
        <v>43</v>
      </c>
      <c r="E10" s="14">
        <v>0.19</v>
      </c>
      <c r="F10" s="14" t="s">
        <v>43</v>
      </c>
      <c r="G10" s="14">
        <v>0.19</v>
      </c>
    </row>
    <row r="11" spans="1:7" ht="22.5" x14ac:dyDescent="0.25">
      <c r="A11" s="14" t="s">
        <v>23</v>
      </c>
      <c r="B11" s="14">
        <v>0</v>
      </c>
      <c r="C11" s="14" t="s">
        <v>46</v>
      </c>
      <c r="D11" s="15">
        <v>1088</v>
      </c>
      <c r="E11" s="14" t="s">
        <v>46</v>
      </c>
      <c r="F11" s="14">
        <v>0.42699999999999999</v>
      </c>
      <c r="G11" s="14" t="s">
        <v>46</v>
      </c>
    </row>
    <row r="12" spans="1:7" ht="33.75" x14ac:dyDescent="0.25">
      <c r="A12" s="14" t="s">
        <v>24</v>
      </c>
      <c r="B12" s="14" t="s">
        <v>44</v>
      </c>
      <c r="C12" s="14">
        <v>0.502</v>
      </c>
      <c r="D12" s="14" t="s">
        <v>44</v>
      </c>
      <c r="E12" s="14">
        <v>0.435</v>
      </c>
      <c r="F12" s="14" t="s">
        <v>44</v>
      </c>
      <c r="G12" s="14">
        <v>0.47499999999999998</v>
      </c>
    </row>
    <row r="13" spans="1:7" ht="22.5" x14ac:dyDescent="0.25">
      <c r="A13" s="14" t="s">
        <v>25</v>
      </c>
      <c r="B13" s="14" t="s">
        <v>45</v>
      </c>
      <c r="C13" s="14">
        <v>0.98</v>
      </c>
      <c r="D13" s="14">
        <v>3.06</v>
      </c>
      <c r="E13" s="14">
        <v>1.1100000000000001</v>
      </c>
      <c r="F13" s="14" t="s">
        <v>45</v>
      </c>
      <c r="G13" s="14">
        <v>1.05</v>
      </c>
    </row>
    <row r="14" spans="1:7" ht="22.5" x14ac:dyDescent="0.25">
      <c r="A14" s="14" t="s">
        <v>26</v>
      </c>
      <c r="B14" s="14" t="s">
        <v>45</v>
      </c>
      <c r="C14" s="14">
        <v>2E-3</v>
      </c>
      <c r="D14" s="14" t="s">
        <v>45</v>
      </c>
      <c r="E14" s="14">
        <v>2E-3</v>
      </c>
      <c r="F14" s="14" t="s">
        <v>45</v>
      </c>
      <c r="G14" s="14">
        <v>2E-3</v>
      </c>
    </row>
    <row r="15" spans="1:7" ht="22.5" x14ac:dyDescent="0.25">
      <c r="A15" s="14" t="s">
        <v>27</v>
      </c>
      <c r="B15" s="14" t="s">
        <v>45</v>
      </c>
      <c r="C15" s="14">
        <v>2.4E-2</v>
      </c>
      <c r="D15" s="14">
        <v>7.0000000000000007E-2</v>
      </c>
      <c r="E15" s="14">
        <v>2.5999999999999999E-2</v>
      </c>
      <c r="F15" s="14" t="s">
        <v>45</v>
      </c>
      <c r="G15" s="14">
        <v>3.5999999999999997E-2</v>
      </c>
    </row>
    <row r="16" spans="1:7" ht="33.75" x14ac:dyDescent="0.25">
      <c r="A16" s="14" t="s">
        <v>28</v>
      </c>
      <c r="B16" s="14">
        <v>4844</v>
      </c>
      <c r="C16" s="14">
        <v>500000</v>
      </c>
      <c r="D16" s="14">
        <v>860</v>
      </c>
      <c r="E16" s="14">
        <v>38000</v>
      </c>
      <c r="F16" s="14">
        <v>129970</v>
      </c>
      <c r="G16" s="14">
        <v>81000</v>
      </c>
    </row>
    <row r="17" spans="1:7" ht="33.75" x14ac:dyDescent="0.25">
      <c r="A17" s="14" t="s">
        <v>33</v>
      </c>
      <c r="B17" s="14">
        <v>243</v>
      </c>
      <c r="C17" s="14">
        <v>200</v>
      </c>
      <c r="D17" s="14">
        <v>98</v>
      </c>
      <c r="E17" s="14">
        <v>400</v>
      </c>
      <c r="F17" s="14">
        <v>15531</v>
      </c>
      <c r="G17" s="14">
        <v>1000</v>
      </c>
    </row>
    <row r="18" spans="1:7" x14ac:dyDescent="0.25">
      <c r="A18" s="14"/>
      <c r="B18" s="16"/>
      <c r="C18" s="16"/>
      <c r="D18" s="16"/>
      <c r="E18" s="16"/>
      <c r="F18" s="16"/>
      <c r="G18" s="16"/>
    </row>
    <row r="19" spans="1:7" x14ac:dyDescent="0.25">
      <c r="A19" s="14"/>
      <c r="B19" s="16"/>
      <c r="C19" s="16"/>
      <c r="D19" s="16"/>
      <c r="E19" s="16"/>
      <c r="F19" s="16"/>
      <c r="G19" s="16"/>
    </row>
    <row r="20" spans="1:7" x14ac:dyDescent="0.25">
      <c r="A20" s="14"/>
      <c r="B20" s="16"/>
      <c r="C20" s="16"/>
      <c r="D20" s="16"/>
      <c r="E20" s="16"/>
      <c r="F20" s="16"/>
      <c r="G20" s="16"/>
    </row>
    <row r="21" spans="1:7" x14ac:dyDescent="0.25">
      <c r="A21" s="14"/>
      <c r="B21" s="16"/>
      <c r="C21" s="16"/>
      <c r="D21" s="16"/>
      <c r="E21" s="16"/>
      <c r="F21" s="16"/>
      <c r="G21" s="16"/>
    </row>
    <row r="22" spans="1:7" x14ac:dyDescent="0.25">
      <c r="A22" s="14"/>
      <c r="B22" s="16"/>
      <c r="C22" s="16"/>
      <c r="D22" s="16"/>
      <c r="E22" s="16"/>
      <c r="F22" s="16"/>
      <c r="G22" s="16"/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"/>
  <sheetViews>
    <sheetView topLeftCell="C1" zoomScaleNormal="100" workbookViewId="0">
      <selection activeCell="E3" sqref="E3:E5"/>
    </sheetView>
  </sheetViews>
  <sheetFormatPr baseColWidth="10" defaultRowHeight="15" x14ac:dyDescent="0.25"/>
  <sheetData>
    <row r="1" spans="1:11" ht="45" customHeight="1" x14ac:dyDescent="0.25">
      <c r="B1" s="17" t="s">
        <v>52</v>
      </c>
      <c r="C1" s="17" t="s">
        <v>48</v>
      </c>
      <c r="D1" s="17" t="s">
        <v>49</v>
      </c>
      <c r="E1" s="17" t="s">
        <v>50</v>
      </c>
      <c r="F1" s="17" t="s">
        <v>51</v>
      </c>
      <c r="G1" s="17" t="s">
        <v>14</v>
      </c>
      <c r="H1" s="17" t="s">
        <v>48</v>
      </c>
      <c r="I1" s="17" t="s">
        <v>3</v>
      </c>
      <c r="J1" s="17" t="s">
        <v>50</v>
      </c>
      <c r="K1" s="17" t="s">
        <v>51</v>
      </c>
    </row>
    <row r="2" spans="1:11" x14ac:dyDescent="0.25">
      <c r="B2" s="16" t="s">
        <v>2</v>
      </c>
      <c r="C2" s="16" t="s">
        <v>2</v>
      </c>
      <c r="D2" s="16" t="s">
        <v>2</v>
      </c>
      <c r="E2" s="16" t="s">
        <v>2</v>
      </c>
      <c r="F2" s="16" t="s">
        <v>2</v>
      </c>
      <c r="G2" s="16" t="s">
        <v>3</v>
      </c>
      <c r="H2" s="16" t="s">
        <v>3</v>
      </c>
      <c r="I2" s="16" t="s">
        <v>3</v>
      </c>
      <c r="J2" s="16" t="s">
        <v>3</v>
      </c>
      <c r="K2" s="16" t="s">
        <v>3</v>
      </c>
    </row>
    <row r="3" spans="1:11" x14ac:dyDescent="0.25">
      <c r="A3" s="17" t="s">
        <v>13</v>
      </c>
      <c r="B3" s="14">
        <v>17.3</v>
      </c>
      <c r="C3" s="14">
        <v>88</v>
      </c>
      <c r="D3" s="14">
        <v>0.1</v>
      </c>
      <c r="E3" s="14">
        <v>23.6</v>
      </c>
      <c r="F3" s="14">
        <v>4</v>
      </c>
      <c r="G3" s="14">
        <v>6.41</v>
      </c>
      <c r="H3" s="14">
        <v>7</v>
      </c>
      <c r="I3" s="14"/>
      <c r="J3" s="14">
        <v>7.5</v>
      </c>
      <c r="K3" s="14" t="s">
        <v>46</v>
      </c>
    </row>
    <row r="4" spans="1:11" x14ac:dyDescent="0.25">
      <c r="A4" s="17" t="s">
        <v>9</v>
      </c>
      <c r="B4" s="14">
        <v>2.68</v>
      </c>
      <c r="C4" s="14">
        <v>15</v>
      </c>
      <c r="D4" s="14">
        <v>0.1</v>
      </c>
      <c r="E4" s="14">
        <v>2.7</v>
      </c>
      <c r="F4" s="14">
        <v>1</v>
      </c>
      <c r="G4" s="14">
        <v>7.6</v>
      </c>
      <c r="H4" s="14">
        <v>30</v>
      </c>
      <c r="I4" s="14"/>
      <c r="J4" s="14">
        <v>5.7</v>
      </c>
      <c r="K4" s="14" t="s">
        <v>46</v>
      </c>
    </row>
    <row r="5" spans="1:11" x14ac:dyDescent="0.25">
      <c r="A5" s="17" t="s">
        <v>10</v>
      </c>
      <c r="B5" s="14">
        <v>2.6</v>
      </c>
      <c r="C5" s="14">
        <v>29</v>
      </c>
      <c r="D5" s="14">
        <v>0.1</v>
      </c>
      <c r="E5" s="14">
        <v>2.6</v>
      </c>
      <c r="F5" s="14">
        <v>1</v>
      </c>
      <c r="G5" s="14">
        <v>10.1</v>
      </c>
      <c r="H5" s="14">
        <v>24</v>
      </c>
      <c r="I5" s="14" t="s">
        <v>46</v>
      </c>
      <c r="J5" s="14">
        <v>11.7</v>
      </c>
      <c r="K5" s="14" t="s">
        <v>46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zoomScale="85" zoomScaleNormal="85" workbookViewId="0">
      <selection activeCell="L31" sqref="L31"/>
    </sheetView>
  </sheetViews>
  <sheetFormatPr baseColWidth="10" defaultRowHeight="15" x14ac:dyDescent="0.25"/>
  <sheetData>
    <row r="1" spans="1:12" x14ac:dyDescent="0.25">
      <c r="B1" s="43" t="s">
        <v>2</v>
      </c>
      <c r="C1" s="43"/>
      <c r="D1" s="43" t="s">
        <v>3</v>
      </c>
      <c r="E1" s="43"/>
    </row>
    <row r="2" spans="1:12" ht="22.5" x14ac:dyDescent="0.25">
      <c r="B2" s="14" t="s">
        <v>55</v>
      </c>
      <c r="C2" s="14" t="s">
        <v>56</v>
      </c>
      <c r="D2" s="14" t="s">
        <v>21</v>
      </c>
      <c r="E2" s="14" t="s">
        <v>20</v>
      </c>
    </row>
    <row r="3" spans="1:12" x14ac:dyDescent="0.25">
      <c r="A3" s="17" t="s">
        <v>13</v>
      </c>
      <c r="B3" s="14">
        <v>58.77</v>
      </c>
      <c r="C3" s="14">
        <v>32.1</v>
      </c>
      <c r="D3" s="14">
        <v>19.8</v>
      </c>
      <c r="E3" s="14">
        <v>3.39</v>
      </c>
      <c r="G3" s="14">
        <v>10</v>
      </c>
      <c r="H3" s="14">
        <v>20</v>
      </c>
      <c r="I3" s="14">
        <v>30</v>
      </c>
      <c r="J3" s="9"/>
      <c r="K3" s="9"/>
      <c r="L3" s="9"/>
    </row>
    <row r="4" spans="1:12" x14ac:dyDescent="0.25">
      <c r="A4" s="17" t="s">
        <v>9</v>
      </c>
      <c r="B4" s="14">
        <v>22.41</v>
      </c>
      <c r="C4" s="14">
        <v>14.01</v>
      </c>
      <c r="D4" s="14">
        <v>11.6</v>
      </c>
      <c r="E4" s="14">
        <v>2</v>
      </c>
      <c r="F4" t="s">
        <v>66</v>
      </c>
      <c r="G4" s="14">
        <v>10</v>
      </c>
      <c r="H4" s="14">
        <v>20</v>
      </c>
      <c r="I4" s="14">
        <v>30</v>
      </c>
      <c r="J4" s="9"/>
      <c r="K4" s="9"/>
      <c r="L4" s="9"/>
    </row>
    <row r="5" spans="1:12" x14ac:dyDescent="0.25">
      <c r="A5" s="17" t="s">
        <v>10</v>
      </c>
      <c r="B5" s="14">
        <v>14.7</v>
      </c>
      <c r="C5" s="14">
        <v>5.14</v>
      </c>
      <c r="D5" s="14">
        <v>11.9</v>
      </c>
      <c r="E5" s="14">
        <v>2</v>
      </c>
      <c r="F5" t="s">
        <v>66</v>
      </c>
      <c r="J5" s="9"/>
      <c r="K5" s="9"/>
      <c r="L5" s="9"/>
    </row>
  </sheetData>
  <mergeCells count="2">
    <mergeCell ref="B1:C1"/>
    <mergeCell ref="D1:E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>
      <selection activeCell="B3" sqref="B3:B5"/>
    </sheetView>
  </sheetViews>
  <sheetFormatPr baseColWidth="10" defaultRowHeight="15" x14ac:dyDescent="0.25"/>
  <sheetData>
    <row r="1" spans="1:12" x14ac:dyDescent="0.25">
      <c r="B1" s="43" t="s">
        <v>2</v>
      </c>
      <c r="C1" s="43"/>
      <c r="D1" s="43" t="s">
        <v>3</v>
      </c>
      <c r="E1" s="43"/>
    </row>
    <row r="2" spans="1:12" ht="22.5" x14ac:dyDescent="0.25">
      <c r="B2" s="14" t="s">
        <v>57</v>
      </c>
      <c r="C2" s="14" t="s">
        <v>58</v>
      </c>
      <c r="D2" s="14" t="s">
        <v>57</v>
      </c>
      <c r="E2" s="14" t="s">
        <v>58</v>
      </c>
      <c r="F2" s="14" t="s">
        <v>59</v>
      </c>
      <c r="G2" s="14" t="s">
        <v>60</v>
      </c>
    </row>
    <row r="3" spans="1:12" x14ac:dyDescent="0.25">
      <c r="A3" s="17" t="s">
        <v>13</v>
      </c>
      <c r="B3" s="14">
        <v>4844</v>
      </c>
      <c r="C3" s="14">
        <v>243</v>
      </c>
      <c r="D3" s="14">
        <v>50000</v>
      </c>
      <c r="E3" s="14">
        <v>200</v>
      </c>
      <c r="F3" s="14">
        <v>1000</v>
      </c>
      <c r="G3" s="14">
        <v>200</v>
      </c>
      <c r="J3" s="18"/>
      <c r="K3" s="18"/>
      <c r="L3" s="18"/>
    </row>
    <row r="4" spans="1:12" x14ac:dyDescent="0.25">
      <c r="A4" s="17" t="s">
        <v>9</v>
      </c>
      <c r="B4" s="14">
        <v>860</v>
      </c>
      <c r="C4" s="14">
        <v>98</v>
      </c>
      <c r="D4" s="14">
        <v>38000</v>
      </c>
      <c r="E4" s="14">
        <v>400</v>
      </c>
      <c r="F4" s="14">
        <v>1000</v>
      </c>
      <c r="G4" s="14">
        <v>200</v>
      </c>
      <c r="J4" s="18"/>
      <c r="K4" s="18"/>
      <c r="L4" s="18"/>
    </row>
    <row r="5" spans="1:12" x14ac:dyDescent="0.25">
      <c r="A5" s="17" t="s">
        <v>10</v>
      </c>
      <c r="B5" s="14">
        <v>129970</v>
      </c>
      <c r="C5" s="14">
        <v>15531</v>
      </c>
      <c r="D5" s="14">
        <v>81000</v>
      </c>
      <c r="E5" s="14">
        <v>1000</v>
      </c>
      <c r="F5" s="14">
        <v>1000</v>
      </c>
      <c r="G5" s="14">
        <v>200</v>
      </c>
      <c r="J5" s="18"/>
      <c r="K5" s="18"/>
      <c r="L5" s="18"/>
    </row>
  </sheetData>
  <mergeCells count="2">
    <mergeCell ref="B1:C1"/>
    <mergeCell ref="D1:E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10"/>
  <sheetViews>
    <sheetView workbookViewId="0">
      <selection activeCell="C8" sqref="C8:C10"/>
    </sheetView>
  </sheetViews>
  <sheetFormatPr baseColWidth="10" defaultRowHeight="15" x14ac:dyDescent="0.25"/>
  <cols>
    <col min="2" max="2" width="14.7109375" customWidth="1"/>
  </cols>
  <sheetData>
    <row r="1" spans="2:16" ht="51" thickBot="1" x14ac:dyDescent="0.3">
      <c r="B1" s="31" t="s">
        <v>73</v>
      </c>
      <c r="C1" s="32" t="s">
        <v>74</v>
      </c>
      <c r="D1" s="32" t="s">
        <v>75</v>
      </c>
      <c r="E1" s="32" t="s">
        <v>76</v>
      </c>
      <c r="F1" s="32" t="s">
        <v>77</v>
      </c>
      <c r="G1" s="32" t="s">
        <v>78</v>
      </c>
      <c r="H1" s="32" t="s">
        <v>79</v>
      </c>
      <c r="I1" s="32" t="s">
        <v>85</v>
      </c>
      <c r="J1" s="32" t="s">
        <v>80</v>
      </c>
      <c r="K1" s="32" t="s">
        <v>81</v>
      </c>
      <c r="L1" s="32" t="s">
        <v>82</v>
      </c>
      <c r="M1" s="32" t="s">
        <v>83</v>
      </c>
      <c r="N1" s="32" t="s">
        <v>86</v>
      </c>
      <c r="O1" s="45" t="s">
        <v>84</v>
      </c>
      <c r="P1" s="46"/>
    </row>
    <row r="2" spans="2:16" x14ac:dyDescent="0.25">
      <c r="B2" s="19" t="s">
        <v>67</v>
      </c>
      <c r="C2" s="20">
        <v>3.39</v>
      </c>
      <c r="D2" s="20">
        <v>7.5</v>
      </c>
      <c r="E2" s="20">
        <v>200</v>
      </c>
      <c r="F2" s="23">
        <v>6.6</v>
      </c>
      <c r="G2" s="20">
        <v>19</v>
      </c>
      <c r="H2" s="20">
        <v>78.3</v>
      </c>
      <c r="I2" s="27">
        <f t="shared" ref="I2:I7" si="0">IF(F2&lt;4,"0.10",IF(AND(F2&gt;=4,F2&lt;7),0.02628419*EXP(F2*0.520025),IF(AND(F2&gt;=7,F2&lt;8),"1",IF(AND(F2&gt;=8,F2&lt;=11),1*EXP((F2-8)*(-0.5187742)),"0.10"))))</f>
        <v>0.81332649170187588</v>
      </c>
      <c r="J2" s="28">
        <f t="shared" ref="J2:J7" si="1">IF(C2&lt;=2,"1",IF(AND(C2&gt;2,C2&lt;30),1-(-0.05+0.7*LOG10(C2)),IF(C2&gt;=30,"0")))</f>
        <v>0.67886021125784246</v>
      </c>
      <c r="K2" s="28">
        <f t="shared" ref="K2:K7" si="2">IF(D2&lt;=4.5,"1",IF(AND(D2&gt;4.5,D2&lt;320),1-(-0.02+0.003*D2),IF(D2&gt;=320,"0")))</f>
        <v>0.99750000000000005</v>
      </c>
      <c r="L2" s="27">
        <f t="shared" ref="L2:L7" si="3">IF((1-10^(-3.26+1.34*LOG10(G2)))&lt;0,0,(1-10^(-3.26+1.34*LOG10(G2))))</f>
        <v>0.97158616689042621</v>
      </c>
      <c r="M2" s="28">
        <f t="shared" ref="M2:M7" si="4">IF(H2&lt;=100,1-(1-0.01*H2),IF(H2&gt;100,1-((0.01*H2)-1)))</f>
        <v>0.78300000000000003</v>
      </c>
      <c r="N2" s="28">
        <f>IF(E2&lt;=50,"0.98",IF(AND(E2&gt;50,E2&lt;=1600),0.98*EXP((E2-50)*(-0.0009917754)),IF(E2&gt;1600,"0")))</f>
        <v>0.84453506894257735</v>
      </c>
      <c r="O2" s="28">
        <f t="shared" ref="O2:O7" si="5">(0.08*I2+0.17*J2+0.15*K2+0.12*L2+0.3*M2+0.18*N2)</f>
        <v>0.83360400768649845</v>
      </c>
      <c r="P2" s="29" t="str">
        <f t="shared" ref="P2:P10" si="6">IF(O2&lt;=0.25,"PÉSIMO",IF(AND(O2&gt;0.25,O2&lt;=0.504),"MALO",IF(AND(O2&gt;0.5,O2&lt;=0.704),"MEDIO",IF(AND(O2&gt;0.7,O2&lt;=0.904),"BUENO",IF(O2&gt;0.9,"EXCELENTE","ERROR")))))</f>
        <v>BUENO</v>
      </c>
    </row>
    <row r="3" spans="2:16" x14ac:dyDescent="0.25">
      <c r="B3" s="19" t="s">
        <v>68</v>
      </c>
      <c r="C3" s="21">
        <v>2</v>
      </c>
      <c r="D3" s="21">
        <v>5.7</v>
      </c>
      <c r="E3" s="21">
        <v>400</v>
      </c>
      <c r="F3" s="24">
        <v>6.63</v>
      </c>
      <c r="G3" s="21">
        <v>45</v>
      </c>
      <c r="H3" s="21">
        <v>79.5</v>
      </c>
      <c r="I3" s="27">
        <f t="shared" si="0"/>
        <v>0.82611448675981958</v>
      </c>
      <c r="J3" s="27" t="str">
        <f t="shared" si="1"/>
        <v>1</v>
      </c>
      <c r="K3" s="27">
        <f t="shared" si="2"/>
        <v>1.0028999999999999</v>
      </c>
      <c r="L3" s="27">
        <f t="shared" si="3"/>
        <v>0.90977959580144774</v>
      </c>
      <c r="M3" s="27">
        <f t="shared" si="4"/>
        <v>0.79500000000000004</v>
      </c>
      <c r="N3" s="28">
        <f>IF(E3&lt;=50,"0.98",IF(AND(E3&gt;50,E3&lt;=1600),0.98*EXP((E3-50)*(-0.0009917754)),IF(E3&gt;1600,"0")))</f>
        <v>0.69258514367899149</v>
      </c>
      <c r="O3" s="27">
        <f t="shared" si="5"/>
        <v>0.85886303629917771</v>
      </c>
      <c r="P3" s="30" t="str">
        <f t="shared" si="6"/>
        <v>BUENO</v>
      </c>
    </row>
    <row r="4" spans="2:16" x14ac:dyDescent="0.25">
      <c r="B4" s="19" t="s">
        <v>69</v>
      </c>
      <c r="C4" s="22">
        <v>2</v>
      </c>
      <c r="D4" s="22">
        <v>11.7</v>
      </c>
      <c r="E4" s="22">
        <v>1000</v>
      </c>
      <c r="F4" s="25">
        <v>6.6</v>
      </c>
      <c r="G4" s="22">
        <v>31</v>
      </c>
      <c r="H4" s="22">
        <v>81.400000000000006</v>
      </c>
      <c r="I4" s="27">
        <f t="shared" si="0"/>
        <v>0.81332649170187588</v>
      </c>
      <c r="J4" s="27" t="str">
        <f t="shared" si="1"/>
        <v>1</v>
      </c>
      <c r="K4" s="27">
        <f t="shared" si="2"/>
        <v>0.9849</v>
      </c>
      <c r="L4" s="27">
        <f t="shared" si="3"/>
        <v>0.94524488823924069</v>
      </c>
      <c r="M4" s="27">
        <f t="shared" si="4"/>
        <v>0.81400000000000006</v>
      </c>
      <c r="N4" s="28">
        <f>IF(E4&lt;=50,"0.98",IF(AND(E4&gt;50,E4&lt;=1600),0.98*EXP((E4-50)*(-0.0009917754)),IF(E4&gt;1600,"0")))</f>
        <v>0.38197911779896043</v>
      </c>
      <c r="O4" s="27">
        <f t="shared" si="5"/>
        <v>0.80918674712867178</v>
      </c>
      <c r="P4" s="30" t="str">
        <f t="shared" si="6"/>
        <v>BUENO</v>
      </c>
    </row>
    <row r="5" spans="2:16" x14ac:dyDescent="0.25">
      <c r="B5" s="19" t="s">
        <v>70</v>
      </c>
      <c r="C5" s="22">
        <v>32.1</v>
      </c>
      <c r="D5" s="22">
        <v>23.6</v>
      </c>
      <c r="E5" s="21">
        <v>243</v>
      </c>
      <c r="F5" s="25">
        <v>7.87</v>
      </c>
      <c r="G5" s="22">
        <v>582</v>
      </c>
      <c r="H5" s="26">
        <v>97.3</v>
      </c>
      <c r="I5" s="27" t="str">
        <f t="shared" si="0"/>
        <v>1</v>
      </c>
      <c r="J5" s="27" t="str">
        <f t="shared" si="1"/>
        <v>0</v>
      </c>
      <c r="K5" s="27">
        <f t="shared" si="2"/>
        <v>0.94920000000000004</v>
      </c>
      <c r="L5" s="27">
        <f t="shared" si="3"/>
        <v>0</v>
      </c>
      <c r="M5" s="27">
        <f t="shared" si="4"/>
        <v>0.97299999999999998</v>
      </c>
      <c r="N5" s="28">
        <f>IF(E5&lt;=50,"0.98",IF(AND(E5&gt;50,E5&lt;=1600),0.98*EXP((E5-50)*(-0.0009917754)),IF(E5&gt;1600,"0")))</f>
        <v>0.80927591798823106</v>
      </c>
      <c r="O5" s="27">
        <f t="shared" si="5"/>
        <v>0.65994966523788168</v>
      </c>
      <c r="P5" s="30" t="str">
        <f t="shared" si="6"/>
        <v>MEDIO</v>
      </c>
    </row>
    <row r="6" spans="2:16" x14ac:dyDescent="0.25">
      <c r="B6" s="19" t="s">
        <v>71</v>
      </c>
      <c r="C6" s="21">
        <v>14.01</v>
      </c>
      <c r="D6" s="21">
        <v>2.7</v>
      </c>
      <c r="E6" s="21">
        <v>98</v>
      </c>
      <c r="F6" s="24">
        <v>7.71</v>
      </c>
      <c r="G6" s="21">
        <v>258</v>
      </c>
      <c r="H6" s="26">
        <v>99.5</v>
      </c>
      <c r="I6" s="27" t="str">
        <f t="shared" si="0"/>
        <v>1</v>
      </c>
      <c r="J6" s="27">
        <f t="shared" si="1"/>
        <v>0.24749330529995783</v>
      </c>
      <c r="K6" s="27" t="str">
        <f t="shared" si="2"/>
        <v>1</v>
      </c>
      <c r="L6" s="27">
        <f t="shared" si="3"/>
        <v>6.3364949086848754E-2</v>
      </c>
      <c r="M6" s="27">
        <f t="shared" si="4"/>
        <v>0.995</v>
      </c>
      <c r="N6" s="28">
        <f>IF(E6&lt;=50,"0.98",IF(AND(E6&gt;50,E6&lt;=1600),0.98*EXP((E6-50)*(-0.0009917754)),IF(E6&gt;1600,"0")))</f>
        <v>0.93443993747449361</v>
      </c>
      <c r="O6" s="27">
        <f t="shared" si="5"/>
        <v>0.74637684453682351</v>
      </c>
      <c r="P6" s="30" t="str">
        <f t="shared" si="6"/>
        <v>BUENO</v>
      </c>
    </row>
    <row r="7" spans="2:16" x14ac:dyDescent="0.25">
      <c r="B7" s="19" t="s">
        <v>72</v>
      </c>
      <c r="C7" s="21">
        <v>5.14</v>
      </c>
      <c r="D7" s="21">
        <v>2.6</v>
      </c>
      <c r="E7" s="21">
        <v>15531</v>
      </c>
      <c r="F7" s="24">
        <v>7.77</v>
      </c>
      <c r="G7" s="21">
        <v>361</v>
      </c>
      <c r="H7" s="26">
        <v>96.6</v>
      </c>
      <c r="I7" s="27" t="str">
        <f t="shared" si="0"/>
        <v>1</v>
      </c>
      <c r="J7" s="27">
        <f t="shared" si="1"/>
        <v>0.55232581670330694</v>
      </c>
      <c r="K7" s="27" t="str">
        <f t="shared" si="2"/>
        <v>1</v>
      </c>
      <c r="L7" s="27">
        <f t="shared" si="3"/>
        <v>0</v>
      </c>
      <c r="M7" s="27">
        <f t="shared" si="4"/>
        <v>0.96599999999999997</v>
      </c>
      <c r="N7" s="28" t="str">
        <f t="shared" ref="N7" si="7">IF(E7&lt;=50,"0.98",IF(AND(E7&gt;50,E7&lt;=1600),0.98*EXP((E7-50)*(-0.0009917754)),IF(E7&gt;1600,"0")))</f>
        <v>0</v>
      </c>
      <c r="O7" s="27">
        <f t="shared" si="5"/>
        <v>0.61369538883956221</v>
      </c>
      <c r="P7" s="30" t="str">
        <f t="shared" si="6"/>
        <v>MEDIO</v>
      </c>
    </row>
    <row r="8" spans="2:16" x14ac:dyDescent="0.25">
      <c r="B8" s="27" t="s">
        <v>108</v>
      </c>
      <c r="C8" s="27">
        <v>2</v>
      </c>
      <c r="D8" s="27">
        <v>5</v>
      </c>
      <c r="E8" s="27">
        <v>31</v>
      </c>
      <c r="F8" s="27">
        <v>7.41</v>
      </c>
      <c r="G8" s="27">
        <v>39.1</v>
      </c>
      <c r="H8" s="27">
        <v>101.4</v>
      </c>
      <c r="I8" s="27" t="str">
        <f t="shared" ref="I8:I10" si="8">IF(F8&lt;4,"0.10",IF(AND(F8&gt;=4,F8&lt;7),0.02628419*EXP(F8*0.520025),IF(AND(F8&gt;=7,F8&lt;8),"1",IF(AND(F8&gt;=8,F8&lt;=11),1*EXP((F8-8)*(-0.5187742)),"0.10"))))</f>
        <v>1</v>
      </c>
      <c r="J8" s="27" t="str">
        <f t="shared" ref="J8:J10" si="9">IF(C8&lt;=2,"1",IF(AND(C8&gt;2,C8&lt;30),1-(-0.05+0.7*LOG10(C8)),IF(C8&gt;=30,"0")))</f>
        <v>1</v>
      </c>
      <c r="K8" s="27">
        <f>IF(D8&lt;=4.5,"1",IF(AND(D8&gt;4.5,D8&lt;320),1-(-0.02+0.003*D8),IF(D8&gt;=320,"0")))</f>
        <v>1.0049999999999999</v>
      </c>
      <c r="L8" s="27">
        <f t="shared" ref="L8:L10" si="10">IF((1-10^(-3.26+1.34*LOG10(G8)))&lt;0,0,(1-10^(-3.26+1.34*LOG10(G8))))</f>
        <v>0.92526623622982818</v>
      </c>
      <c r="M8" s="27">
        <f t="shared" ref="M8:M10" si="11">IF(H8&lt;=100,1-(1-0.01*H8),IF(H8&gt;100,1-((0.01*H8)-1)))</f>
        <v>0.98599999999999999</v>
      </c>
      <c r="N8" s="28" t="str">
        <f t="shared" ref="N8:N10" si="12">IF(E8&lt;=50,"0.98",IF(AND(E8&gt;50,E8&lt;=1600),0.98*EXP((E8-50)*(-0.0009917754)),IF(E8&gt;1600,"0")))</f>
        <v>0.98</v>
      </c>
      <c r="O8" s="27">
        <f t="shared" ref="O8:O10" si="13">(0.08*I8+0.17*J8+0.15*K8+0.12*L8+0.3*M8+0.18*N8)</f>
        <v>0.98398194834757924</v>
      </c>
      <c r="P8" s="30" t="str">
        <f t="shared" si="6"/>
        <v>EXCELENTE</v>
      </c>
    </row>
    <row r="9" spans="2:16" x14ac:dyDescent="0.25">
      <c r="B9" s="27" t="s">
        <v>109</v>
      </c>
      <c r="C9" s="27">
        <v>2</v>
      </c>
      <c r="D9" s="27">
        <v>5</v>
      </c>
      <c r="E9" s="27">
        <v>10</v>
      </c>
      <c r="F9" s="27">
        <v>7.37</v>
      </c>
      <c r="G9" s="27">
        <v>42.3</v>
      </c>
      <c r="H9" s="27">
        <v>102.8</v>
      </c>
      <c r="I9" s="27" t="str">
        <f t="shared" si="8"/>
        <v>1</v>
      </c>
      <c r="J9" s="27" t="str">
        <f t="shared" si="9"/>
        <v>1</v>
      </c>
      <c r="K9" s="27">
        <f t="shared" ref="K9:K10" si="14">IF(D9&lt;=4.5,"1",IF(AND(D9&gt;4.5,D9&lt;320),1-(-0.02+0.003*D9),IF(D9&gt;=320,"0")))</f>
        <v>1.0049999999999999</v>
      </c>
      <c r="L9" s="27">
        <f t="shared" si="10"/>
        <v>0.91695832658481169</v>
      </c>
      <c r="M9" s="27">
        <f t="shared" si="11"/>
        <v>0.97199999999999998</v>
      </c>
      <c r="N9" s="28" t="str">
        <f t="shared" si="12"/>
        <v>0.98</v>
      </c>
      <c r="O9" s="27">
        <f t="shared" si="13"/>
        <v>0.97878499919017736</v>
      </c>
      <c r="P9" s="30" t="str">
        <f t="shared" si="6"/>
        <v>EXCELENTE</v>
      </c>
    </row>
    <row r="10" spans="2:16" x14ac:dyDescent="0.25">
      <c r="B10" s="27" t="s">
        <v>110</v>
      </c>
      <c r="C10" s="27">
        <v>2</v>
      </c>
      <c r="D10" s="27">
        <v>5</v>
      </c>
      <c r="E10" s="27">
        <v>31</v>
      </c>
      <c r="F10" s="27">
        <v>7.5</v>
      </c>
      <c r="G10" s="27">
        <v>44.7</v>
      </c>
      <c r="H10" s="27">
        <v>100.8</v>
      </c>
      <c r="I10" s="27" t="str">
        <f t="shared" si="8"/>
        <v>1</v>
      </c>
      <c r="J10" s="27" t="str">
        <f t="shared" si="9"/>
        <v>1</v>
      </c>
      <c r="K10" s="27">
        <f t="shared" si="14"/>
        <v>1.0049999999999999</v>
      </c>
      <c r="L10" s="27">
        <f t="shared" si="10"/>
        <v>0.9105846499707323</v>
      </c>
      <c r="M10" s="27">
        <f t="shared" si="11"/>
        <v>0.99199999999999999</v>
      </c>
      <c r="N10" s="28" t="str">
        <f t="shared" si="12"/>
        <v>0.98</v>
      </c>
      <c r="O10" s="27">
        <f t="shared" si="13"/>
        <v>0.98402015799648779</v>
      </c>
      <c r="P10" s="30" t="str">
        <f t="shared" si="6"/>
        <v>EXCELENTE</v>
      </c>
    </row>
  </sheetData>
  <mergeCells count="1">
    <mergeCell ref="O1:P1"/>
  </mergeCells>
  <conditionalFormatting sqref="P2:P10">
    <cfRule type="containsText" dxfId="19" priority="1" operator="containsText" text="EXCELENTE">
      <formula>NOT(ISERROR(SEARCH("EXCELENTE",P2)))</formula>
    </cfRule>
    <cfRule type="containsText" dxfId="18" priority="2" operator="containsText" text="BUENO">
      <formula>NOT(ISERROR(SEARCH("BUENO",P2)))</formula>
    </cfRule>
    <cfRule type="containsText" dxfId="17" priority="3" operator="containsText" text="MEDIO">
      <formula>NOT(ISERROR(SEARCH("MEDIO",P2)))</formula>
    </cfRule>
    <cfRule type="containsText" dxfId="16" priority="4" operator="containsText" text="MALO">
      <formula>NOT(ISERROR(SEARCH("MALO",P2)))</formula>
    </cfRule>
    <cfRule type="containsText" dxfId="15" priority="5" operator="containsText" text="PÉSIMO">
      <formula>NOT(ISERROR(SEARCH("PÉSIMO",P2)))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45"/>
  <sheetViews>
    <sheetView tabSelected="1" topLeftCell="A16" workbookViewId="0">
      <selection activeCell="L25" sqref="L25"/>
    </sheetView>
  </sheetViews>
  <sheetFormatPr baseColWidth="10" defaultRowHeight="15" x14ac:dyDescent="0.25"/>
  <cols>
    <col min="1" max="1" width="15.28515625" bestFit="1" customWidth="1"/>
    <col min="2" max="2" width="5" bestFit="1" customWidth="1"/>
    <col min="3" max="3" width="13.7109375" bestFit="1" customWidth="1"/>
    <col min="4" max="4" width="8.42578125" bestFit="1" customWidth="1"/>
    <col min="5" max="5" width="10.85546875" bestFit="1" customWidth="1"/>
    <col min="8" max="8" width="19" bestFit="1" customWidth="1"/>
    <col min="9" max="9" width="12.28515625" bestFit="1" customWidth="1"/>
    <col min="10" max="10" width="24" bestFit="1" customWidth="1"/>
    <col min="11" max="11" width="5.42578125" bestFit="1" customWidth="1"/>
    <col min="12" max="12" width="7.28515625" bestFit="1" customWidth="1"/>
    <col min="13" max="13" width="24" bestFit="1" customWidth="1"/>
  </cols>
  <sheetData>
    <row r="2" spans="1:13" x14ac:dyDescent="0.25">
      <c r="A2" t="s">
        <v>87</v>
      </c>
      <c r="C2" t="s">
        <v>50</v>
      </c>
      <c r="H2" s="38" t="s">
        <v>107</v>
      </c>
      <c r="I2" s="38" t="s">
        <v>88</v>
      </c>
      <c r="J2" s="39" t="s">
        <v>102</v>
      </c>
    </row>
    <row r="3" spans="1:13" x14ac:dyDescent="0.25">
      <c r="A3" t="s">
        <v>13</v>
      </c>
      <c r="B3">
        <v>2015</v>
      </c>
      <c r="C3">
        <v>7.5</v>
      </c>
      <c r="H3" s="34" t="s">
        <v>67</v>
      </c>
      <c r="I3" s="35">
        <f t="shared" ref="I3:I11" si="0">IF(C3&lt;10,0,(IF(C3&gt;340,1,(-0.02+0.003*C3))))</f>
        <v>0</v>
      </c>
      <c r="J3" s="35" t="str">
        <f>IF(I3&lt;=0.2,"Ninguna",IF(I3&lt;=0.4,"Baja",IF(I3&lt;=0.6,"Media",IF(I3&lt;=0.8,"Alta","Muy Alta"))))</f>
        <v>Ninguna</v>
      </c>
    </row>
    <row r="4" spans="1:13" x14ac:dyDescent="0.25">
      <c r="A4" t="s">
        <v>90</v>
      </c>
      <c r="B4">
        <v>2015</v>
      </c>
      <c r="C4">
        <v>5.7</v>
      </c>
      <c r="H4" s="36" t="s">
        <v>68</v>
      </c>
      <c r="I4" s="35">
        <f t="shared" si="0"/>
        <v>0</v>
      </c>
      <c r="J4" s="35" t="str">
        <f t="shared" ref="J4:J11" si="1">IF(I4&lt;=0.2,"Ninguna",IF(I4&lt;=0.4,"Baja",IF(I4&lt;=0.6,"Media",IF(I4&lt;=0.8,"Alta","Muy Alta"))))</f>
        <v>Ninguna</v>
      </c>
    </row>
    <row r="5" spans="1:13" x14ac:dyDescent="0.25">
      <c r="A5" t="s">
        <v>91</v>
      </c>
      <c r="B5">
        <v>2015</v>
      </c>
      <c r="C5">
        <v>11.7</v>
      </c>
      <c r="H5" s="36" t="s">
        <v>69</v>
      </c>
      <c r="I5" s="35">
        <f t="shared" si="0"/>
        <v>1.5099999999999999E-2</v>
      </c>
      <c r="J5" s="35" t="str">
        <f t="shared" si="1"/>
        <v>Ninguna</v>
      </c>
    </row>
    <row r="6" spans="1:13" x14ac:dyDescent="0.25">
      <c r="A6" t="s">
        <v>89</v>
      </c>
      <c r="B6">
        <v>2018</v>
      </c>
      <c r="C6">
        <v>23.6</v>
      </c>
      <c r="H6" s="34" t="s">
        <v>70</v>
      </c>
      <c r="I6" s="35">
        <f t="shared" si="0"/>
        <v>5.0799999999999998E-2</v>
      </c>
      <c r="J6" s="35" t="str">
        <f t="shared" si="1"/>
        <v>Ninguna</v>
      </c>
    </row>
    <row r="7" spans="1:13" x14ac:dyDescent="0.25">
      <c r="A7" t="s">
        <v>90</v>
      </c>
      <c r="B7">
        <v>2018</v>
      </c>
      <c r="C7">
        <v>2.7</v>
      </c>
      <c r="H7" s="36" t="s">
        <v>71</v>
      </c>
      <c r="I7" s="35">
        <f t="shared" si="0"/>
        <v>0</v>
      </c>
      <c r="J7" s="35" t="str">
        <f t="shared" si="1"/>
        <v>Ninguna</v>
      </c>
    </row>
    <row r="8" spans="1:13" x14ac:dyDescent="0.25">
      <c r="A8" t="s">
        <v>91</v>
      </c>
      <c r="B8">
        <v>2018</v>
      </c>
      <c r="C8">
        <v>2.6</v>
      </c>
      <c r="H8" s="36" t="s">
        <v>72</v>
      </c>
      <c r="I8" s="35">
        <f t="shared" si="0"/>
        <v>0</v>
      </c>
      <c r="J8" s="35" t="str">
        <f t="shared" si="1"/>
        <v>Ninguna</v>
      </c>
      <c r="K8" s="1"/>
      <c r="L8" s="1"/>
    </row>
    <row r="9" spans="1:13" x14ac:dyDescent="0.25">
      <c r="A9" t="s">
        <v>89</v>
      </c>
      <c r="B9">
        <v>2022</v>
      </c>
      <c r="C9">
        <v>5</v>
      </c>
      <c r="H9" s="34" t="s">
        <v>108</v>
      </c>
      <c r="I9" s="35">
        <f t="shared" si="0"/>
        <v>0</v>
      </c>
      <c r="J9" s="35" t="str">
        <f t="shared" si="1"/>
        <v>Ninguna</v>
      </c>
      <c r="K9" s="1"/>
      <c r="L9" s="1"/>
    </row>
    <row r="10" spans="1:13" x14ac:dyDescent="0.25">
      <c r="A10" t="s">
        <v>90</v>
      </c>
      <c r="B10">
        <v>2022</v>
      </c>
      <c r="C10">
        <v>5</v>
      </c>
      <c r="H10" s="36" t="s">
        <v>109</v>
      </c>
      <c r="I10" s="35">
        <f t="shared" si="0"/>
        <v>0</v>
      </c>
      <c r="J10" s="35" t="str">
        <f t="shared" si="1"/>
        <v>Ninguna</v>
      </c>
      <c r="K10" s="1"/>
      <c r="L10" s="1"/>
    </row>
    <row r="11" spans="1:13" x14ac:dyDescent="0.25">
      <c r="A11" t="s">
        <v>91</v>
      </c>
      <c r="B11">
        <v>2022</v>
      </c>
      <c r="C11">
        <v>5</v>
      </c>
      <c r="H11" s="36" t="s">
        <v>110</v>
      </c>
      <c r="I11" s="35">
        <f t="shared" si="0"/>
        <v>0</v>
      </c>
      <c r="J11" s="35" t="str">
        <f t="shared" si="1"/>
        <v>Ninguna</v>
      </c>
      <c r="K11" s="1"/>
      <c r="L11" s="1"/>
    </row>
    <row r="12" spans="1:13" x14ac:dyDescent="0.25">
      <c r="H12" s="36"/>
      <c r="I12" s="35"/>
      <c r="J12" s="35"/>
      <c r="K12" s="1"/>
      <c r="L12" s="1"/>
    </row>
    <row r="14" spans="1:13" x14ac:dyDescent="0.25">
      <c r="A14" s="41" t="s">
        <v>87</v>
      </c>
      <c r="B14" s="41"/>
      <c r="C14" s="41" t="s">
        <v>99</v>
      </c>
      <c r="D14" s="41" t="s">
        <v>100</v>
      </c>
      <c r="E14" s="41" t="s">
        <v>98</v>
      </c>
      <c r="H14" s="38" t="s">
        <v>107</v>
      </c>
      <c r="I14" s="38" t="s">
        <v>105</v>
      </c>
      <c r="J14" s="38" t="s">
        <v>92</v>
      </c>
      <c r="K14" s="38" t="s">
        <v>106</v>
      </c>
      <c r="L14" s="38" t="s">
        <v>93</v>
      </c>
      <c r="M14" s="39" t="s">
        <v>102</v>
      </c>
    </row>
    <row r="15" spans="1:13" x14ac:dyDescent="0.25">
      <c r="A15" s="41" t="s">
        <v>89</v>
      </c>
      <c r="B15" s="41">
        <v>2015</v>
      </c>
      <c r="C15" s="41">
        <v>19</v>
      </c>
      <c r="D15" s="41">
        <v>8.82</v>
      </c>
      <c r="E15" s="41">
        <v>5</v>
      </c>
      <c r="H15" s="34" t="s">
        <v>67</v>
      </c>
      <c r="I15" s="37">
        <f t="shared" ref="I15:I20" si="2">IF(C15&gt;270,1,10^(-3.26+1.34*(LOG10(C15))))</f>
        <v>2.8413833109573766E-2</v>
      </c>
      <c r="J15" s="37">
        <f t="shared" ref="J15:J20" si="3">IF(D15&lt;30,0,IF(D15&gt;110,1,10^(-9.09+(4.4*LOG10(D15)))))</f>
        <v>0</v>
      </c>
      <c r="K15" s="37">
        <f t="shared" ref="K15:K20" si="4">IF(E15&lt;50,0,IF(E15&gt;250,1,-0.25+0.005*E15))</f>
        <v>0</v>
      </c>
      <c r="L15" s="35">
        <f>AVERAGE(I15:K15)</f>
        <v>9.4712777031912554E-3</v>
      </c>
      <c r="M15" s="35" t="str">
        <f>IF(L15&lt;=0.2,"Ninguna",IF(L15&lt;=0.4,"Baja",IF(L15&lt;=0.6,"Media",IF(L15&lt;=0.8,"Alta","Muy Alta"))))</f>
        <v>Ninguna</v>
      </c>
    </row>
    <row r="16" spans="1:13" x14ac:dyDescent="0.25">
      <c r="A16" s="41" t="s">
        <v>90</v>
      </c>
      <c r="B16" s="41">
        <v>2015</v>
      </c>
      <c r="C16" s="41">
        <v>45</v>
      </c>
      <c r="D16" s="41">
        <v>9.8000000000000007</v>
      </c>
      <c r="E16" s="41">
        <v>7.11</v>
      </c>
      <c r="H16" s="36" t="s">
        <v>68</v>
      </c>
      <c r="I16" s="37">
        <f t="shared" si="2"/>
        <v>9.0220404198552262E-2</v>
      </c>
      <c r="J16" s="37">
        <f t="shared" si="3"/>
        <v>0</v>
      </c>
      <c r="K16" s="37">
        <f t="shared" si="4"/>
        <v>0</v>
      </c>
      <c r="L16" s="35">
        <f t="shared" ref="L16:L20" si="5">AVERAGE(I16:K16)</f>
        <v>3.0073468066184088E-2</v>
      </c>
      <c r="M16" s="35" t="str">
        <f t="shared" ref="M16:M20" si="6">IF(L16&lt;=0.2,"Ninguna",IF(L16&lt;=0.4,"Baja",IF(L16&lt;=0.6,"Media",IF(L16&lt;=0.8,"Alta","Muy Alta"))))</f>
        <v>Ninguna</v>
      </c>
    </row>
    <row r="17" spans="1:13" x14ac:dyDescent="0.25">
      <c r="A17" s="41" t="s">
        <v>91</v>
      </c>
      <c r="B17" s="41">
        <v>2015</v>
      </c>
      <c r="C17" s="41">
        <v>31</v>
      </c>
      <c r="D17" s="41">
        <v>8.82</v>
      </c>
      <c r="E17" s="41">
        <v>5.73</v>
      </c>
      <c r="H17" s="36" t="s">
        <v>69</v>
      </c>
      <c r="I17" s="37">
        <f t="shared" si="2"/>
        <v>5.4755111760759326E-2</v>
      </c>
      <c r="J17" s="37">
        <f t="shared" si="3"/>
        <v>0</v>
      </c>
      <c r="K17" s="37">
        <f t="shared" si="4"/>
        <v>0</v>
      </c>
      <c r="L17" s="35">
        <f t="shared" si="5"/>
        <v>1.8251703920253107E-2</v>
      </c>
      <c r="M17" s="35" t="str">
        <f t="shared" si="6"/>
        <v>Ninguna</v>
      </c>
    </row>
    <row r="18" spans="1:13" x14ac:dyDescent="0.25">
      <c r="A18" s="41" t="s">
        <v>89</v>
      </c>
      <c r="B18" s="41">
        <v>2018</v>
      </c>
      <c r="C18" s="41">
        <v>582</v>
      </c>
      <c r="D18" s="41">
        <v>10.9</v>
      </c>
      <c r="E18" s="41">
        <v>7.85</v>
      </c>
      <c r="H18" s="34" t="s">
        <v>70</v>
      </c>
      <c r="I18" s="37">
        <f t="shared" si="2"/>
        <v>1</v>
      </c>
      <c r="J18" s="37">
        <f t="shared" si="3"/>
        <v>0</v>
      </c>
      <c r="K18" s="37">
        <f t="shared" si="4"/>
        <v>0</v>
      </c>
      <c r="L18" s="35">
        <f t="shared" si="5"/>
        <v>0.33333333333333331</v>
      </c>
      <c r="M18" s="35" t="str">
        <f t="shared" si="6"/>
        <v>Baja</v>
      </c>
    </row>
    <row r="19" spans="1:13" x14ac:dyDescent="0.25">
      <c r="A19" s="41" t="s">
        <v>90</v>
      </c>
      <c r="B19" s="41">
        <v>2018</v>
      </c>
      <c r="C19" s="41">
        <v>258</v>
      </c>
      <c r="D19" s="41">
        <v>8.1</v>
      </c>
      <c r="E19" s="41">
        <v>6.67</v>
      </c>
      <c r="H19" s="36" t="s">
        <v>71</v>
      </c>
      <c r="I19" s="37">
        <f t="shared" si="2"/>
        <v>0.93663505091315125</v>
      </c>
      <c r="J19" s="37">
        <f t="shared" si="3"/>
        <v>0</v>
      </c>
      <c r="K19" s="37">
        <f t="shared" si="4"/>
        <v>0</v>
      </c>
      <c r="L19" s="35">
        <f t="shared" si="5"/>
        <v>0.31221168363771706</v>
      </c>
      <c r="M19" s="35" t="str">
        <f t="shared" si="6"/>
        <v>Baja</v>
      </c>
    </row>
    <row r="20" spans="1:13" x14ac:dyDescent="0.25">
      <c r="A20" s="41" t="s">
        <v>91</v>
      </c>
      <c r="B20" s="41">
        <v>2018</v>
      </c>
      <c r="C20" s="41">
        <v>361</v>
      </c>
      <c r="D20" s="41">
        <v>12.1</v>
      </c>
      <c r="E20" s="41">
        <v>11.68</v>
      </c>
      <c r="H20" s="36" t="s">
        <v>72</v>
      </c>
      <c r="I20" s="37">
        <f t="shared" si="2"/>
        <v>1</v>
      </c>
      <c r="J20" s="37">
        <f t="shared" si="3"/>
        <v>0</v>
      </c>
      <c r="K20" s="37">
        <f t="shared" si="4"/>
        <v>0</v>
      </c>
      <c r="L20" s="35">
        <f t="shared" si="5"/>
        <v>0.33333333333333331</v>
      </c>
      <c r="M20" s="35" t="str">
        <f t="shared" si="6"/>
        <v>Baja</v>
      </c>
    </row>
    <row r="21" spans="1:13" x14ac:dyDescent="0.25">
      <c r="A21" s="41" t="s">
        <v>89</v>
      </c>
      <c r="B21" s="41">
        <v>2022</v>
      </c>
      <c r="C21" s="41">
        <v>39.1</v>
      </c>
      <c r="D21" s="42">
        <v>11.2</v>
      </c>
      <c r="E21" s="42">
        <v>11.8</v>
      </c>
      <c r="H21" s="34" t="s">
        <v>108</v>
      </c>
      <c r="I21" s="37">
        <f t="shared" ref="I21:I23" si="7">IF(C21&gt;270,1,10^(-3.26+1.34*(LOG10(C21))))</f>
        <v>7.4733763770171838E-2</v>
      </c>
      <c r="J21" s="37">
        <f t="shared" ref="J21:J23" si="8">IF(D21&lt;30,0,IF(D21&gt;110,1,10^(-9.09+(4.4*LOG10(D21)))))</f>
        <v>0</v>
      </c>
      <c r="K21" s="37">
        <f t="shared" ref="K21:K23" si="9">IF(E21&lt;50,0,IF(E21&gt;250,1,-0.25+0.005*E21))</f>
        <v>0</v>
      </c>
      <c r="L21" s="35">
        <f t="shared" ref="L21:L23" si="10">AVERAGE(I21:K21)</f>
        <v>2.4911254590057278E-2</v>
      </c>
      <c r="M21" s="35" t="str">
        <f t="shared" ref="M21:M23" si="11">IF(L21&lt;=0.2,"Ninguna",IF(L21&lt;=0.4,"Baja",IF(L21&lt;=0.6,"Media",IF(L21&lt;=0.8,"Alta","Muy Alta"))))</f>
        <v>Ninguna</v>
      </c>
    </row>
    <row r="22" spans="1:13" x14ac:dyDescent="0.25">
      <c r="A22" s="41" t="s">
        <v>90</v>
      </c>
      <c r="B22" s="41">
        <v>2022</v>
      </c>
      <c r="C22" s="41">
        <v>42.3</v>
      </c>
      <c r="D22" s="42">
        <v>11.7</v>
      </c>
      <c r="E22" s="42">
        <v>12.6</v>
      </c>
      <c r="H22" s="36" t="s">
        <v>109</v>
      </c>
      <c r="I22" s="37">
        <f t="shared" si="7"/>
        <v>8.3041673415188352E-2</v>
      </c>
      <c r="J22" s="37">
        <f t="shared" si="8"/>
        <v>0</v>
      </c>
      <c r="K22" s="37">
        <f t="shared" si="9"/>
        <v>0</v>
      </c>
      <c r="L22" s="35">
        <f t="shared" si="10"/>
        <v>2.7680557805062785E-2</v>
      </c>
      <c r="M22" s="35" t="str">
        <f t="shared" si="11"/>
        <v>Ninguna</v>
      </c>
    </row>
    <row r="23" spans="1:13" x14ac:dyDescent="0.25">
      <c r="A23" s="41" t="s">
        <v>91</v>
      </c>
      <c r="B23" s="41">
        <v>2022</v>
      </c>
      <c r="C23" s="41">
        <v>44.7</v>
      </c>
      <c r="D23" s="42">
        <v>12</v>
      </c>
      <c r="E23" s="42">
        <v>12.9</v>
      </c>
      <c r="H23" s="36" t="s">
        <v>110</v>
      </c>
      <c r="I23" s="37">
        <f t="shared" si="7"/>
        <v>8.9415350029267732E-2</v>
      </c>
      <c r="J23" s="37">
        <f t="shared" si="8"/>
        <v>0</v>
      </c>
      <c r="K23" s="37">
        <f t="shared" si="9"/>
        <v>0</v>
      </c>
      <c r="L23" s="35">
        <f t="shared" si="10"/>
        <v>2.9805116676422577E-2</v>
      </c>
      <c r="M23" s="35" t="str">
        <f t="shared" si="11"/>
        <v>Ninguna</v>
      </c>
    </row>
    <row r="24" spans="1:13" x14ac:dyDescent="0.25">
      <c r="J24" s="1"/>
      <c r="K24" s="1"/>
      <c r="L24" s="1"/>
    </row>
    <row r="25" spans="1:13" x14ac:dyDescent="0.25">
      <c r="A25" t="s">
        <v>87</v>
      </c>
      <c r="C25" t="s">
        <v>113</v>
      </c>
      <c r="D25" t="s">
        <v>114</v>
      </c>
      <c r="E25" t="s">
        <v>115</v>
      </c>
      <c r="H25" s="38" t="s">
        <v>107</v>
      </c>
      <c r="I25" s="38" t="s">
        <v>94</v>
      </c>
      <c r="J25" s="38" t="s">
        <v>95</v>
      </c>
      <c r="K25" s="38" t="s">
        <v>104</v>
      </c>
      <c r="L25" s="38" t="s">
        <v>96</v>
      </c>
      <c r="M25" s="39" t="s">
        <v>102</v>
      </c>
    </row>
    <row r="26" spans="1:13" x14ac:dyDescent="0.25">
      <c r="A26" t="s">
        <v>89</v>
      </c>
      <c r="B26">
        <v>2015</v>
      </c>
      <c r="C26">
        <v>3.39</v>
      </c>
      <c r="D26">
        <v>50000</v>
      </c>
      <c r="E26">
        <v>78.3</v>
      </c>
      <c r="H26" s="34" t="s">
        <v>67</v>
      </c>
      <c r="I26" s="37">
        <f t="shared" ref="I26:I31" si="12">IF(C26&lt;2,0,IF(C26&gt;30,1,-0.05+0.7*(LOG10(C26))))</f>
        <v>0.32113978874215754</v>
      </c>
      <c r="J26" s="37">
        <f t="shared" ref="J26:J31" si="13">IF(D26&lt;500,0,IF(D26&gt;20000,1,(-1.44+0.56*LOG10(D26))))</f>
        <v>1</v>
      </c>
      <c r="K26" s="37">
        <f>IF(E26&gt;100,0,(1-0.01*E26))</f>
        <v>0.21699999999999997</v>
      </c>
      <c r="L26" s="35">
        <f>AVERAGE(I26:K26)</f>
        <v>0.5127132629140525</v>
      </c>
      <c r="M26" s="35" t="str">
        <f>IF(L26&lt;=0.2,"Ninguna",IF(L26&lt;=0.4,"Baja",IF(L26&lt;=0.6,"Media",IF(L26&lt;=0.8,"Alta","Muy Alta"))))</f>
        <v>Media</v>
      </c>
    </row>
    <row r="27" spans="1:13" x14ac:dyDescent="0.25">
      <c r="A27" t="s">
        <v>90</v>
      </c>
      <c r="B27">
        <v>2015</v>
      </c>
      <c r="C27">
        <v>1.99</v>
      </c>
      <c r="D27">
        <v>38000</v>
      </c>
      <c r="E27">
        <v>79.5</v>
      </c>
      <c r="H27" s="36" t="s">
        <v>68</v>
      </c>
      <c r="I27" s="37">
        <f t="shared" si="12"/>
        <v>0</v>
      </c>
      <c r="J27" s="37">
        <f t="shared" si="13"/>
        <v>1</v>
      </c>
      <c r="K27" s="37">
        <f t="shared" ref="K27:K31" si="14">IF(E27&gt;100,0,(1-0.01*E27))</f>
        <v>0.20499999999999996</v>
      </c>
      <c r="L27" s="35">
        <f t="shared" ref="L27:L31" si="15">AVERAGE(I27:K27)</f>
        <v>0.40166666666666667</v>
      </c>
      <c r="M27" s="35" t="str">
        <f t="shared" ref="M27:M31" si="16">IF(L27&lt;=0.2,"Ninguna",IF(L27&lt;=0.4,"Baja",IF(L27&lt;=0.6,"Media",IF(L27&lt;=0.8,"Alta","Muy Alta"))))</f>
        <v>Media</v>
      </c>
    </row>
    <row r="28" spans="1:13" x14ac:dyDescent="0.25">
      <c r="A28" t="s">
        <v>91</v>
      </c>
      <c r="B28">
        <v>2015</v>
      </c>
      <c r="C28">
        <v>1.99</v>
      </c>
      <c r="D28">
        <v>81000</v>
      </c>
      <c r="E28">
        <v>81.400000000000006</v>
      </c>
      <c r="H28" s="36" t="s">
        <v>69</v>
      </c>
      <c r="I28" s="37">
        <f t="shared" si="12"/>
        <v>0</v>
      </c>
      <c r="J28" s="37">
        <f t="shared" si="13"/>
        <v>1</v>
      </c>
      <c r="K28" s="37">
        <f t="shared" si="14"/>
        <v>0.18599999999999994</v>
      </c>
      <c r="L28" s="35">
        <f t="shared" si="15"/>
        <v>0.39533333333333331</v>
      </c>
      <c r="M28" s="35" t="str">
        <f t="shared" si="16"/>
        <v>Baja</v>
      </c>
    </row>
    <row r="29" spans="1:13" x14ac:dyDescent="0.25">
      <c r="A29" t="s">
        <v>89</v>
      </c>
      <c r="B29">
        <v>2018</v>
      </c>
      <c r="C29">
        <v>32.1</v>
      </c>
      <c r="D29">
        <v>4844</v>
      </c>
      <c r="E29" s="11">
        <v>97.3</v>
      </c>
      <c r="H29" s="34" t="s">
        <v>70</v>
      </c>
      <c r="I29" s="37">
        <f t="shared" si="12"/>
        <v>1</v>
      </c>
      <c r="J29" s="37">
        <f t="shared" si="13"/>
        <v>0.62371431530376853</v>
      </c>
      <c r="K29" s="37">
        <f t="shared" si="14"/>
        <v>2.7000000000000024E-2</v>
      </c>
      <c r="L29" s="35">
        <f t="shared" si="15"/>
        <v>0.55023810510125626</v>
      </c>
      <c r="M29" s="35" t="str">
        <f t="shared" si="16"/>
        <v>Media</v>
      </c>
    </row>
    <row r="30" spans="1:13" x14ac:dyDescent="0.25">
      <c r="A30" t="s">
        <v>90</v>
      </c>
      <c r="B30">
        <v>2018</v>
      </c>
      <c r="C30">
        <v>14.01</v>
      </c>
      <c r="D30">
        <v>860</v>
      </c>
      <c r="E30" s="11">
        <v>99.5</v>
      </c>
      <c r="H30" s="36" t="s">
        <v>71</v>
      </c>
      <c r="I30" s="37">
        <f t="shared" si="12"/>
        <v>0.75250669470004217</v>
      </c>
      <c r="J30" s="37">
        <f t="shared" si="13"/>
        <v>0.20331913269639834</v>
      </c>
      <c r="K30" s="37">
        <f t="shared" si="14"/>
        <v>5.0000000000000044E-3</v>
      </c>
      <c r="L30" s="35">
        <f t="shared" si="15"/>
        <v>0.32027527579881349</v>
      </c>
      <c r="M30" s="35" t="str">
        <f t="shared" si="16"/>
        <v>Baja</v>
      </c>
    </row>
    <row r="31" spans="1:13" x14ac:dyDescent="0.25">
      <c r="A31" t="s">
        <v>91</v>
      </c>
      <c r="B31">
        <v>2018</v>
      </c>
      <c r="C31">
        <v>5.14</v>
      </c>
      <c r="D31">
        <v>129970</v>
      </c>
      <c r="E31" s="11">
        <v>96.6</v>
      </c>
      <c r="H31" s="36" t="s">
        <v>72</v>
      </c>
      <c r="I31" s="37">
        <f t="shared" si="12"/>
        <v>0.44767418329669301</v>
      </c>
      <c r="J31" s="37">
        <f t="shared" si="13"/>
        <v>1</v>
      </c>
      <c r="K31" s="37">
        <f t="shared" si="14"/>
        <v>3.400000000000003E-2</v>
      </c>
      <c r="L31" s="35">
        <f t="shared" si="15"/>
        <v>0.49389139443223101</v>
      </c>
      <c r="M31" s="35" t="str">
        <f t="shared" si="16"/>
        <v>Media</v>
      </c>
    </row>
    <row r="32" spans="1:13" x14ac:dyDescent="0.25">
      <c r="A32" t="s">
        <v>89</v>
      </c>
      <c r="B32">
        <v>2022</v>
      </c>
      <c r="C32">
        <v>1.99</v>
      </c>
      <c r="D32">
        <v>2481</v>
      </c>
      <c r="E32">
        <v>101.4</v>
      </c>
      <c r="H32" s="34" t="s">
        <v>108</v>
      </c>
      <c r="I32" s="37">
        <f t="shared" ref="I32:I34" si="17">IF(C32&lt;2,0,IF(C32&gt;30,1,-0.05+0.7*(LOG10(C32))))</f>
        <v>0</v>
      </c>
      <c r="J32" s="37">
        <f t="shared" ref="J32:J34" si="18">IF(D32&lt;500,0,IF(D32&gt;20000,1,(-1.44+0.56*LOG10(D32))))</f>
        <v>0.46099098799243743</v>
      </c>
      <c r="K32" s="37">
        <f t="shared" ref="K32:K34" si="19">IF(E32&gt;100,0,(1-0.01*E32))</f>
        <v>0</v>
      </c>
      <c r="L32" s="35">
        <f t="shared" ref="L32:L34" si="20">AVERAGE(I32:K32)</f>
        <v>0.1536636626641458</v>
      </c>
      <c r="M32" s="35" t="str">
        <f t="shared" ref="M32:M34" si="21">IF(L32&lt;=0.2,"Ninguna",IF(L32&lt;=0.4,"Baja",IF(L32&lt;=0.6,"Media",IF(L32&lt;=0.8,"Alta","Muy Alta"))))</f>
        <v>Ninguna</v>
      </c>
    </row>
    <row r="33" spans="1:13" x14ac:dyDescent="0.25">
      <c r="A33" t="s">
        <v>90</v>
      </c>
      <c r="B33">
        <v>2022</v>
      </c>
      <c r="C33">
        <v>1.99</v>
      </c>
      <c r="D33">
        <v>529</v>
      </c>
      <c r="E33">
        <v>102.8</v>
      </c>
      <c r="H33" s="36" t="s">
        <v>109</v>
      </c>
      <c r="I33" s="37">
        <f t="shared" si="17"/>
        <v>0</v>
      </c>
      <c r="J33" s="37">
        <f t="shared" si="18"/>
        <v>8.5135176339704133E-2</v>
      </c>
      <c r="K33" s="37">
        <f t="shared" si="19"/>
        <v>0</v>
      </c>
      <c r="L33" s="35">
        <f t="shared" si="20"/>
        <v>2.8378392113234712E-2</v>
      </c>
      <c r="M33" s="35" t="str">
        <f t="shared" si="21"/>
        <v>Ninguna</v>
      </c>
    </row>
    <row r="34" spans="1:13" x14ac:dyDescent="0.25">
      <c r="A34" t="s">
        <v>91</v>
      </c>
      <c r="B34">
        <v>2022</v>
      </c>
      <c r="C34">
        <v>1.99</v>
      </c>
      <c r="D34">
        <v>3076</v>
      </c>
      <c r="E34">
        <v>100.8</v>
      </c>
      <c r="H34" s="36" t="s">
        <v>110</v>
      </c>
      <c r="I34" s="37">
        <f t="shared" si="17"/>
        <v>0</v>
      </c>
      <c r="J34" s="37">
        <f t="shared" si="18"/>
        <v>0.51327234543246059</v>
      </c>
      <c r="K34" s="37">
        <f t="shared" si="19"/>
        <v>0</v>
      </c>
      <c r="L34" s="35">
        <f t="shared" si="20"/>
        <v>0.17109078181082019</v>
      </c>
      <c r="M34" s="35" t="str">
        <f t="shared" si="21"/>
        <v>Ninguna</v>
      </c>
    </row>
    <row r="35" spans="1:13" x14ac:dyDescent="0.25">
      <c r="J35" s="1"/>
      <c r="K35" s="1"/>
      <c r="L35" s="1"/>
    </row>
    <row r="36" spans="1:13" x14ac:dyDescent="0.25">
      <c r="A36" t="s">
        <v>87</v>
      </c>
      <c r="C36" t="s">
        <v>101</v>
      </c>
      <c r="H36" s="38" t="s">
        <v>107</v>
      </c>
      <c r="I36" s="38" t="s">
        <v>101</v>
      </c>
      <c r="J36" s="38" t="s">
        <v>97</v>
      </c>
      <c r="K36" s="1"/>
      <c r="L36" s="1"/>
    </row>
    <row r="37" spans="1:13" x14ac:dyDescent="0.25">
      <c r="A37" t="s">
        <v>89</v>
      </c>
      <c r="B37">
        <v>2015</v>
      </c>
      <c r="C37" s="40">
        <v>2.4E-2</v>
      </c>
      <c r="H37" s="34" t="s">
        <v>67</v>
      </c>
      <c r="I37" s="36">
        <v>2.4E-2</v>
      </c>
      <c r="J37" s="35" t="str">
        <f t="shared" ref="J37:J42" si="22">IF(C37&lt;0.01,"OLIGOTRÓFICO",IF(C37&lt;=0.02,"MESOTRÓFICO",IF(C37&lt;=1,"EUTRÓFICO","HIPEREUTRÓFICO")))</f>
        <v>EUTRÓFICO</v>
      </c>
      <c r="K37" s="1"/>
      <c r="L37" s="1"/>
    </row>
    <row r="38" spans="1:13" x14ac:dyDescent="0.25">
      <c r="A38" t="s">
        <v>90</v>
      </c>
      <c r="B38">
        <v>2015</v>
      </c>
      <c r="C38" s="40">
        <v>2.5999999999999999E-2</v>
      </c>
      <c r="H38" s="36" t="s">
        <v>68</v>
      </c>
      <c r="I38" s="36">
        <v>2.5999999999999999E-2</v>
      </c>
      <c r="J38" s="35" t="str">
        <f t="shared" si="22"/>
        <v>EUTRÓFICO</v>
      </c>
      <c r="K38" s="1"/>
      <c r="L38" s="1"/>
    </row>
    <row r="39" spans="1:13" x14ac:dyDescent="0.25">
      <c r="A39" t="s">
        <v>91</v>
      </c>
      <c r="B39">
        <v>2015</v>
      </c>
      <c r="C39" s="40">
        <v>3.5999999999999997E-2</v>
      </c>
      <c r="H39" s="36" t="s">
        <v>69</v>
      </c>
      <c r="I39" s="36">
        <v>3.5999999999999997E-2</v>
      </c>
      <c r="J39" s="35" t="str">
        <f t="shared" si="22"/>
        <v>EUTRÓFICO</v>
      </c>
    </row>
    <row r="40" spans="1:13" x14ac:dyDescent="0.25">
      <c r="A40" t="s">
        <v>89</v>
      </c>
      <c r="B40">
        <v>2018</v>
      </c>
      <c r="C40" s="40" t="s">
        <v>45</v>
      </c>
      <c r="H40" s="34" t="s">
        <v>70</v>
      </c>
      <c r="I40" s="36" t="s">
        <v>45</v>
      </c>
      <c r="J40" s="35" t="str">
        <f t="shared" si="22"/>
        <v>HIPEREUTRÓFICO</v>
      </c>
      <c r="K40" t="s">
        <v>103</v>
      </c>
    </row>
    <row r="41" spans="1:13" x14ac:dyDescent="0.25">
      <c r="A41" t="s">
        <v>90</v>
      </c>
      <c r="B41">
        <v>2018</v>
      </c>
      <c r="C41" s="40">
        <v>7.0000000000000007E-2</v>
      </c>
      <c r="H41" s="36" t="s">
        <v>71</v>
      </c>
      <c r="I41" s="36">
        <v>7.0000000000000007E-2</v>
      </c>
      <c r="J41" s="35" t="str">
        <f t="shared" si="22"/>
        <v>EUTRÓFICO</v>
      </c>
    </row>
    <row r="42" spans="1:13" x14ac:dyDescent="0.25">
      <c r="A42" t="s">
        <v>91</v>
      </c>
      <c r="B42">
        <v>2018</v>
      </c>
      <c r="C42" s="40" t="s">
        <v>45</v>
      </c>
      <c r="H42" s="36" t="s">
        <v>72</v>
      </c>
      <c r="I42" s="36" t="s">
        <v>45</v>
      </c>
      <c r="J42" s="35" t="str">
        <f t="shared" si="22"/>
        <v>HIPEREUTRÓFICO</v>
      </c>
      <c r="K42" t="s">
        <v>103</v>
      </c>
    </row>
    <row r="43" spans="1:13" x14ac:dyDescent="0.25">
      <c r="A43" t="s">
        <v>89</v>
      </c>
      <c r="B43">
        <v>2022</v>
      </c>
      <c r="C43" s="40" t="s">
        <v>112</v>
      </c>
      <c r="H43" s="34" t="s">
        <v>108</v>
      </c>
      <c r="I43" s="36" t="s">
        <v>111</v>
      </c>
      <c r="J43" s="35" t="str">
        <f t="shared" ref="J43:J45" si="23">IF(C43&lt;0.01,"OLIGOTRÓFICO",IF(C43&lt;=0.02,"MESOTRÓFICO",IF(C43&lt;=1,"EUTRÓFICO","HIPEREUTRÓFICO")))</f>
        <v>HIPEREUTRÓFICO</v>
      </c>
    </row>
    <row r="44" spans="1:13" x14ac:dyDescent="0.25">
      <c r="A44" t="s">
        <v>90</v>
      </c>
      <c r="B44">
        <v>2022</v>
      </c>
      <c r="C44" s="40" t="s">
        <v>112</v>
      </c>
      <c r="H44" s="36" t="s">
        <v>109</v>
      </c>
      <c r="I44" s="36" t="s">
        <v>111</v>
      </c>
      <c r="J44" s="35" t="str">
        <f t="shared" si="23"/>
        <v>HIPEREUTRÓFICO</v>
      </c>
    </row>
    <row r="45" spans="1:13" x14ac:dyDescent="0.25">
      <c r="A45" t="s">
        <v>91</v>
      </c>
      <c r="B45">
        <v>2022</v>
      </c>
      <c r="C45" s="40" t="s">
        <v>112</v>
      </c>
      <c r="H45" s="36" t="s">
        <v>110</v>
      </c>
      <c r="I45" s="36" t="s">
        <v>111</v>
      </c>
      <c r="J45" s="35" t="str">
        <f t="shared" si="23"/>
        <v>HIPEREUTRÓFICO</v>
      </c>
    </row>
  </sheetData>
  <phoneticPr fontId="14" type="noConversion"/>
  <conditionalFormatting sqref="J3:J12">
    <cfRule type="containsText" dxfId="14" priority="12" operator="containsText" text="Alta">
      <formula>NOT(ISERROR(SEARCH("Alta",J3)))</formula>
    </cfRule>
    <cfRule type="containsText" dxfId="13" priority="13" operator="containsText" text="Media">
      <formula>NOT(ISERROR(SEARCH("Media",J3)))</formula>
    </cfRule>
    <cfRule type="containsText" dxfId="12" priority="14" operator="containsText" text="Baja">
      <formula>NOT(ISERROR(SEARCH("Baja",J3)))</formula>
    </cfRule>
    <cfRule type="containsText" dxfId="11" priority="15" operator="containsText" text="Ninguna">
      <formula>NOT(ISERROR(SEARCH("Ninguna",J3)))</formula>
    </cfRule>
  </conditionalFormatting>
  <conditionalFormatting sqref="J3:J12">
    <cfRule type="containsText" dxfId="10" priority="11" operator="containsText" text="Muy Alta">
      <formula>NOT(ISERROR(SEARCH("Muy Alta",J3)))</formula>
    </cfRule>
  </conditionalFormatting>
  <conditionalFormatting sqref="M15:M23">
    <cfRule type="containsText" dxfId="9" priority="7" operator="containsText" text="Alta">
      <formula>NOT(ISERROR(SEARCH("Alta",M15)))</formula>
    </cfRule>
    <cfRule type="containsText" dxfId="8" priority="8" operator="containsText" text="Media">
      <formula>NOT(ISERROR(SEARCH("Media",M15)))</formula>
    </cfRule>
    <cfRule type="containsText" dxfId="7" priority="9" operator="containsText" text="Baja">
      <formula>NOT(ISERROR(SEARCH("Baja",M15)))</formula>
    </cfRule>
    <cfRule type="containsText" dxfId="6" priority="10" operator="containsText" text="Ninguna">
      <formula>NOT(ISERROR(SEARCH("Ninguna",M15)))</formula>
    </cfRule>
  </conditionalFormatting>
  <conditionalFormatting sqref="M15:M23">
    <cfRule type="containsText" dxfId="5" priority="6" operator="containsText" text="Muy Alta">
      <formula>NOT(ISERROR(SEARCH("Muy Alta",M15)))</formula>
    </cfRule>
  </conditionalFormatting>
  <conditionalFormatting sqref="M26:M34">
    <cfRule type="containsText" dxfId="4" priority="2" operator="containsText" text="Alta">
      <formula>NOT(ISERROR(SEARCH("Alta",M26)))</formula>
    </cfRule>
    <cfRule type="containsText" dxfId="3" priority="3" operator="containsText" text="Media">
      <formula>NOT(ISERROR(SEARCH("Media",M26)))</formula>
    </cfRule>
    <cfRule type="containsText" dxfId="2" priority="4" operator="containsText" text="Baja">
      <formula>NOT(ISERROR(SEARCH("Baja",M26)))</formula>
    </cfRule>
    <cfRule type="containsText" dxfId="1" priority="5" operator="containsText" text="Ninguna">
      <formula>NOT(ISERROR(SEARCH("Ninguna",M26)))</formula>
    </cfRule>
  </conditionalFormatting>
  <conditionalFormatting sqref="M26:M34">
    <cfRule type="containsText" dxfId="0" priority="1" operator="containsText" text="Muy Alta">
      <formula>NOT(ISERROR(SEARCH("Muy Alta",M26)))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 situ</vt:lpstr>
      <vt:lpstr>Ec_OD</vt:lpstr>
      <vt:lpstr>Hoja2</vt:lpstr>
      <vt:lpstr>solidos</vt:lpstr>
      <vt:lpstr>DBO_DQO</vt:lpstr>
      <vt:lpstr>Coliformes</vt:lpstr>
      <vt:lpstr>ICA</vt:lpstr>
      <vt:lpstr>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MateoP</dc:creator>
  <cp:lastModifiedBy>Johan Velasquez</cp:lastModifiedBy>
  <dcterms:created xsi:type="dcterms:W3CDTF">2019-03-27T15:32:05Z</dcterms:created>
  <dcterms:modified xsi:type="dcterms:W3CDTF">2022-09-15T23:02:02Z</dcterms:modified>
</cp:coreProperties>
</file>