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https://d.docs.live.net/eb8698fb4c62f692/2. JENIFER 2024/ASOCIACION/CAFE/"/>
    </mc:Choice>
  </mc:AlternateContent>
  <xr:revisionPtr revIDLastSave="0" documentId="8_{B8CAB91E-3AC6-0746-82FA-0D4EA5E52697}" xr6:coauthVersionLast="47" xr6:coauthVersionMax="47" xr10:uidLastSave="{00000000-0000-0000-0000-000000000000}"/>
  <bookViews>
    <workbookView xWindow="0" yWindow="500" windowWidth="28800" windowHeight="15720" activeTab="3" xr2:uid="{00000000-000D-0000-FFFF-FFFF00000000}"/>
  </bookViews>
  <sheets>
    <sheet name="PRESUPUESTO_GRAL" sheetId="2" r:id="rId1"/>
    <sheet name="Hoja1" sheetId="13" r:id="rId2"/>
    <sheet name="CRONOGRAMA" sheetId="12" r:id="rId3"/>
    <sheet name="COTIZACIONES" sheetId="1" r:id="rId4"/>
    <sheet name="1.1.1 ESAL_PLANTULAS" sheetId="3" r:id="rId5"/>
    <sheet name="1.1.2 CORNARE_ESTABLECIMIENTO" sheetId="4" r:id="rId6"/>
    <sheet name="1.2 CORNARE_BIOFABRICA" sheetId="5" r:id="rId7"/>
    <sheet name="1.3 CORNARE_FORTALECIMIENTO" sheetId="7" r:id="rId8"/>
    <sheet name="2.1 ESAL_COMPOSTERA" sheetId="6" r:id="rId9"/>
    <sheet name="2.2 ESAL_STAM" sheetId="8" r:id="rId10"/>
    <sheet name="3. COMPONENTE TÉCNICO" sheetId="9" r:id="rId11"/>
    <sheet name="4. CAPACITACIONES" sheetId="10" r:id="rId12"/>
    <sheet name="5. DISTINTIVO CAFETEROS" sheetId="11" r:id="rId13"/>
  </sheets>
  <definedNames>
    <definedName name="ACCION">#REF!</definedName>
    <definedName name="EME">#REF!</definedName>
    <definedName name="Excel_BuiltIn__FilterDatabase_4">#REF!</definedName>
    <definedName name="globales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psDmGrSzLktfwrDJtyeCvW6MBlQmKJXrhKErxyEaSU0="/>
    </ext>
  </extLst>
</workbook>
</file>

<file path=xl/calcChain.xml><?xml version="1.0" encoding="utf-8"?>
<calcChain xmlns="http://schemas.openxmlformats.org/spreadsheetml/2006/main">
  <c r="CQ48" i="1" l="1"/>
  <c r="CD50" i="1"/>
  <c r="BZ50" i="1"/>
  <c r="BY50" i="1"/>
  <c r="BT50" i="1"/>
  <c r="BO50" i="1"/>
  <c r="BK50" i="1"/>
  <c r="CD48" i="1"/>
  <c r="BY48" i="1"/>
  <c r="BZ48" i="1" s="1"/>
  <c r="BT48" i="1"/>
  <c r="BO48" i="1"/>
  <c r="BK48" i="1"/>
  <c r="BK14" i="1"/>
  <c r="E6" i="2"/>
  <c r="F6" i="2" s="1"/>
  <c r="E19" i="2"/>
  <c r="E5" i="8"/>
  <c r="E6" i="8"/>
  <c r="D25" i="3"/>
  <c r="D28" i="8" l="1"/>
  <c r="E28" i="8" s="1"/>
  <c r="D29" i="8"/>
  <c r="E29" i="8" s="1"/>
  <c r="E26" i="8"/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3" i="5"/>
  <c r="D15" i="7"/>
  <c r="D6" i="7"/>
  <c r="D12" i="4"/>
  <c r="E12" i="4" s="1"/>
  <c r="D11" i="4"/>
  <c r="E11" i="4" s="1"/>
  <c r="D10" i="4"/>
  <c r="E10" i="4" s="1"/>
  <c r="D9" i="4"/>
  <c r="E9" i="4" s="1"/>
  <c r="AJ82" i="1"/>
  <c r="AK82" i="1" s="1"/>
  <c r="AJ92" i="1"/>
  <c r="AK92" i="1" s="1"/>
  <c r="AK91" i="1"/>
  <c r="AJ91" i="1"/>
  <c r="AE92" i="1"/>
  <c r="AF92" i="1" s="1"/>
  <c r="AE91" i="1"/>
  <c r="AF91" i="1" s="1"/>
  <c r="AE82" i="1"/>
  <c r="AF82" i="1" s="1"/>
  <c r="CQ101" i="1"/>
  <c r="D8" i="10" s="1"/>
  <c r="BY49" i="1"/>
  <c r="BY47" i="1"/>
  <c r="D7" i="7"/>
  <c r="BT49" i="1"/>
  <c r="BT47" i="1"/>
  <c r="CQ47" i="1"/>
  <c r="CQ49" i="1"/>
  <c r="CQ50" i="1"/>
  <c r="D16" i="7" s="1"/>
  <c r="CQ18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CQ38" i="1"/>
  <c r="CQ39" i="1"/>
  <c r="CQ40" i="1"/>
  <c r="CQ41" i="1"/>
  <c r="CQ42" i="1"/>
  <c r="CQ43" i="1"/>
  <c r="CQ44" i="1"/>
  <c r="CQ45" i="1"/>
  <c r="CQ21" i="1"/>
  <c r="CQ17" i="1"/>
  <c r="CQ16" i="1"/>
  <c r="CQ19" i="1"/>
  <c r="Z92" i="1"/>
  <c r="AA92" i="1" s="1"/>
  <c r="Z91" i="1"/>
  <c r="AA91" i="1" s="1"/>
  <c r="Z82" i="1"/>
  <c r="AA82" i="1" s="1"/>
  <c r="CN101" i="1"/>
  <c r="CH101" i="1"/>
  <c r="CI101" i="1" s="1"/>
  <c r="BW45" i="1"/>
  <c r="BW43" i="1"/>
  <c r="BW39" i="1"/>
  <c r="BW38" i="1"/>
  <c r="BW37" i="1"/>
  <c r="BW36" i="1"/>
  <c r="BW35" i="1"/>
  <c r="BW34" i="1"/>
  <c r="BW33" i="1"/>
  <c r="BW32" i="1"/>
  <c r="BW30" i="1"/>
  <c r="BW29" i="1"/>
  <c r="BW27" i="1"/>
  <c r="BW26" i="1"/>
  <c r="BW25" i="1"/>
  <c r="BW24" i="1"/>
  <c r="BW21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U103" i="1" l="1"/>
  <c r="BT103" i="1"/>
  <c r="BU101" i="1"/>
  <c r="BT101" i="1"/>
  <c r="BU100" i="1"/>
  <c r="BT100" i="1"/>
  <c r="BU99" i="1"/>
  <c r="BT99" i="1"/>
  <c r="BU98" i="1"/>
  <c r="BT98" i="1"/>
  <c r="BU96" i="1"/>
  <c r="BT96" i="1"/>
  <c r="BU95" i="1"/>
  <c r="BT95" i="1"/>
  <c r="BU94" i="1"/>
  <c r="BT94" i="1"/>
  <c r="BU92" i="1"/>
  <c r="BT92" i="1"/>
  <c r="BU91" i="1"/>
  <c r="BT91" i="1"/>
  <c r="BU90" i="1"/>
  <c r="BT90" i="1"/>
  <c r="BU89" i="1"/>
  <c r="BT89" i="1"/>
  <c r="BU88" i="1"/>
  <c r="BT88" i="1"/>
  <c r="BU87" i="1"/>
  <c r="BT87" i="1"/>
  <c r="BU86" i="1"/>
  <c r="BT86" i="1"/>
  <c r="BU85" i="1"/>
  <c r="BT85" i="1"/>
  <c r="BU84" i="1"/>
  <c r="BT84" i="1"/>
  <c r="BU83" i="1"/>
  <c r="BT83" i="1"/>
  <c r="BU82" i="1"/>
  <c r="BT82" i="1"/>
  <c r="BU81" i="1"/>
  <c r="BT81" i="1"/>
  <c r="BU80" i="1"/>
  <c r="BT80" i="1"/>
  <c r="BU79" i="1"/>
  <c r="BT79" i="1"/>
  <c r="BU78" i="1"/>
  <c r="BT78" i="1"/>
  <c r="BU77" i="1"/>
  <c r="BT77" i="1"/>
  <c r="BU76" i="1"/>
  <c r="BT76" i="1"/>
  <c r="BU75" i="1"/>
  <c r="BT75" i="1"/>
  <c r="BU74" i="1"/>
  <c r="BT74" i="1"/>
  <c r="BU73" i="1"/>
  <c r="BT73" i="1"/>
  <c r="BU72" i="1"/>
  <c r="BT72" i="1"/>
  <c r="BU70" i="1"/>
  <c r="BT70" i="1"/>
  <c r="BU69" i="1"/>
  <c r="BT69" i="1"/>
  <c r="BU68" i="1"/>
  <c r="BT68" i="1"/>
  <c r="BU67" i="1"/>
  <c r="BT67" i="1"/>
  <c r="BU66" i="1"/>
  <c r="BT66" i="1"/>
  <c r="BU65" i="1"/>
  <c r="BT65" i="1"/>
  <c r="BU64" i="1"/>
  <c r="BT64" i="1"/>
  <c r="BU63" i="1"/>
  <c r="BT63" i="1"/>
  <c r="BU62" i="1"/>
  <c r="BT62" i="1"/>
  <c r="BU61" i="1"/>
  <c r="BT61" i="1"/>
  <c r="BU60" i="1"/>
  <c r="BT60" i="1"/>
  <c r="BU59" i="1"/>
  <c r="BT59" i="1"/>
  <c r="BU58" i="1"/>
  <c r="BT58" i="1"/>
  <c r="BU57" i="1"/>
  <c r="BT57" i="1"/>
  <c r="BU56" i="1"/>
  <c r="BT56" i="1"/>
  <c r="BU55" i="1"/>
  <c r="BT55" i="1"/>
  <c r="BU54" i="1"/>
  <c r="BT54" i="1"/>
  <c r="BU53" i="1"/>
  <c r="BT53" i="1"/>
  <c r="BU52" i="1"/>
  <c r="BT52" i="1"/>
  <c r="BT45" i="1"/>
  <c r="BT44" i="1"/>
  <c r="BT43" i="1"/>
  <c r="BT42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U25" i="1" s="1"/>
  <c r="BT24" i="1"/>
  <c r="BT23" i="1"/>
  <c r="BT22" i="1"/>
  <c r="BT21" i="1"/>
  <c r="BT19" i="1"/>
  <c r="BT18" i="1"/>
  <c r="BU18" i="1" s="1"/>
  <c r="BT17" i="1"/>
  <c r="BU17" i="1" s="1"/>
  <c r="BT16" i="1"/>
  <c r="BT15" i="1"/>
  <c r="BT14" i="1"/>
  <c r="BT13" i="1"/>
  <c r="BT12" i="1"/>
  <c r="BT10" i="1"/>
  <c r="BT9" i="1"/>
  <c r="BT8" i="1"/>
  <c r="BO18" i="1"/>
  <c r="BP18" i="1" s="1"/>
  <c r="BY18" i="1"/>
  <c r="BZ18" i="1" s="1"/>
  <c r="AF52" i="1"/>
  <c r="CQ52" i="1" s="1"/>
  <c r="CD18" i="1"/>
  <c r="CE18" i="1" s="1"/>
  <c r="CD19" i="1"/>
  <c r="F16" i="1"/>
  <c r="F15" i="1"/>
  <c r="G18" i="1"/>
  <c r="G17" i="1"/>
  <c r="F18" i="1"/>
  <c r="F19" i="1"/>
  <c r="F17" i="1"/>
  <c r="CO103" i="1"/>
  <c r="CN103" i="1"/>
  <c r="CO100" i="1"/>
  <c r="CN100" i="1"/>
  <c r="CO99" i="1"/>
  <c r="CN99" i="1"/>
  <c r="CO98" i="1"/>
  <c r="CN98" i="1"/>
  <c r="CO96" i="1"/>
  <c r="CN96" i="1"/>
  <c r="CO95" i="1"/>
  <c r="CN95" i="1"/>
  <c r="CO94" i="1"/>
  <c r="CN94" i="1"/>
  <c r="CO92" i="1"/>
  <c r="CN92" i="1"/>
  <c r="CO91" i="1"/>
  <c r="CN91" i="1"/>
  <c r="CO90" i="1"/>
  <c r="CN90" i="1"/>
  <c r="CO89" i="1"/>
  <c r="CN89" i="1"/>
  <c r="CO88" i="1"/>
  <c r="CN88" i="1"/>
  <c r="CO87" i="1"/>
  <c r="CN87" i="1"/>
  <c r="CO86" i="1"/>
  <c r="CN86" i="1"/>
  <c r="CO85" i="1"/>
  <c r="CN85" i="1"/>
  <c r="CO84" i="1"/>
  <c r="CN84" i="1"/>
  <c r="CO83" i="1"/>
  <c r="CN83" i="1"/>
  <c r="CO82" i="1"/>
  <c r="CN82" i="1"/>
  <c r="CO81" i="1"/>
  <c r="CN81" i="1"/>
  <c r="CO80" i="1"/>
  <c r="CN80" i="1"/>
  <c r="CO79" i="1"/>
  <c r="CN79" i="1"/>
  <c r="CO78" i="1"/>
  <c r="CN78" i="1"/>
  <c r="CO77" i="1"/>
  <c r="CN77" i="1"/>
  <c r="CO76" i="1"/>
  <c r="CN76" i="1"/>
  <c r="CO75" i="1"/>
  <c r="CN75" i="1"/>
  <c r="CO74" i="1"/>
  <c r="CN74" i="1"/>
  <c r="CO73" i="1"/>
  <c r="CN73" i="1"/>
  <c r="CO72" i="1"/>
  <c r="CN72" i="1"/>
  <c r="CO70" i="1"/>
  <c r="CN70" i="1"/>
  <c r="CO69" i="1"/>
  <c r="CN69" i="1"/>
  <c r="CO68" i="1"/>
  <c r="CN68" i="1"/>
  <c r="CO67" i="1"/>
  <c r="CN67" i="1"/>
  <c r="CO66" i="1"/>
  <c r="CN66" i="1"/>
  <c r="CO65" i="1"/>
  <c r="CN65" i="1"/>
  <c r="CO64" i="1"/>
  <c r="CN64" i="1"/>
  <c r="CO63" i="1"/>
  <c r="CN63" i="1"/>
  <c r="CO62" i="1"/>
  <c r="CN62" i="1"/>
  <c r="CO61" i="1"/>
  <c r="CN61" i="1"/>
  <c r="CO60" i="1"/>
  <c r="CN60" i="1"/>
  <c r="CO59" i="1"/>
  <c r="CN59" i="1"/>
  <c r="CO58" i="1"/>
  <c r="CN58" i="1"/>
  <c r="CO57" i="1"/>
  <c r="CN57" i="1"/>
  <c r="CO56" i="1"/>
  <c r="CN56" i="1"/>
  <c r="CO55" i="1"/>
  <c r="CN55" i="1"/>
  <c r="CO54" i="1"/>
  <c r="CN54" i="1"/>
  <c r="CO53" i="1"/>
  <c r="CN53" i="1"/>
  <c r="CO52" i="1"/>
  <c r="CN52" i="1"/>
  <c r="CJ103" i="1"/>
  <c r="CI103" i="1"/>
  <c r="CJ100" i="1"/>
  <c r="CI100" i="1"/>
  <c r="CJ99" i="1"/>
  <c r="CI99" i="1"/>
  <c r="CJ98" i="1"/>
  <c r="CI98" i="1"/>
  <c r="CJ96" i="1"/>
  <c r="CI96" i="1"/>
  <c r="CJ95" i="1"/>
  <c r="CI95" i="1"/>
  <c r="CJ94" i="1"/>
  <c r="CI94" i="1"/>
  <c r="CJ92" i="1"/>
  <c r="CI92" i="1"/>
  <c r="CJ91" i="1"/>
  <c r="CI91" i="1"/>
  <c r="CJ90" i="1"/>
  <c r="CI90" i="1"/>
  <c r="CJ89" i="1"/>
  <c r="CI89" i="1"/>
  <c r="CJ88" i="1"/>
  <c r="CI88" i="1"/>
  <c r="CJ87" i="1"/>
  <c r="CI87" i="1"/>
  <c r="CJ86" i="1"/>
  <c r="CI86" i="1"/>
  <c r="CJ85" i="1"/>
  <c r="CI85" i="1"/>
  <c r="CJ84" i="1"/>
  <c r="CI84" i="1"/>
  <c r="CJ83" i="1"/>
  <c r="CI83" i="1"/>
  <c r="CJ82" i="1"/>
  <c r="CI82" i="1"/>
  <c r="CJ81" i="1"/>
  <c r="CI81" i="1"/>
  <c r="CJ80" i="1"/>
  <c r="CI80" i="1"/>
  <c r="CJ79" i="1"/>
  <c r="CI79" i="1"/>
  <c r="CJ78" i="1"/>
  <c r="CI78" i="1"/>
  <c r="CJ77" i="1"/>
  <c r="CI77" i="1"/>
  <c r="CJ76" i="1"/>
  <c r="CI76" i="1"/>
  <c r="CJ75" i="1"/>
  <c r="CI75" i="1"/>
  <c r="CJ74" i="1"/>
  <c r="CI74" i="1"/>
  <c r="CJ73" i="1"/>
  <c r="CI73" i="1"/>
  <c r="CJ72" i="1"/>
  <c r="CI72" i="1"/>
  <c r="CJ70" i="1"/>
  <c r="CI70" i="1"/>
  <c r="CJ69" i="1"/>
  <c r="CI69" i="1"/>
  <c r="CJ68" i="1"/>
  <c r="CI68" i="1"/>
  <c r="CJ67" i="1"/>
  <c r="CI67" i="1"/>
  <c r="CJ66" i="1"/>
  <c r="CI66" i="1"/>
  <c r="CJ65" i="1"/>
  <c r="CI65" i="1"/>
  <c r="CJ64" i="1"/>
  <c r="CI64" i="1"/>
  <c r="CJ63" i="1"/>
  <c r="CI63" i="1"/>
  <c r="CJ62" i="1"/>
  <c r="CI62" i="1"/>
  <c r="CJ61" i="1"/>
  <c r="CI61" i="1"/>
  <c r="CJ60" i="1"/>
  <c r="CI60" i="1"/>
  <c r="CJ59" i="1"/>
  <c r="CI59" i="1"/>
  <c r="CJ58" i="1"/>
  <c r="CI58" i="1"/>
  <c r="CJ57" i="1"/>
  <c r="CI57" i="1"/>
  <c r="CJ56" i="1"/>
  <c r="CI56" i="1"/>
  <c r="CJ55" i="1"/>
  <c r="CI55" i="1"/>
  <c r="CJ54" i="1"/>
  <c r="CI54" i="1"/>
  <c r="CJ53" i="1"/>
  <c r="CI53" i="1"/>
  <c r="CJ52" i="1"/>
  <c r="CI52" i="1"/>
  <c r="CE103" i="1"/>
  <c r="CD103" i="1"/>
  <c r="CE101" i="1"/>
  <c r="CD101" i="1"/>
  <c r="CE100" i="1"/>
  <c r="CD100" i="1"/>
  <c r="CE99" i="1"/>
  <c r="CD99" i="1"/>
  <c r="CE98" i="1"/>
  <c r="CD98" i="1"/>
  <c r="CE96" i="1"/>
  <c r="CD96" i="1"/>
  <c r="CE95" i="1"/>
  <c r="CD95" i="1"/>
  <c r="CE94" i="1"/>
  <c r="CD94" i="1"/>
  <c r="CE92" i="1"/>
  <c r="CD92" i="1"/>
  <c r="CE91" i="1"/>
  <c r="CD91" i="1"/>
  <c r="CE90" i="1"/>
  <c r="CD90" i="1"/>
  <c r="CE89" i="1"/>
  <c r="CD89" i="1"/>
  <c r="CE88" i="1"/>
  <c r="CD88" i="1"/>
  <c r="CE87" i="1"/>
  <c r="CD87" i="1"/>
  <c r="CE86" i="1"/>
  <c r="CD86" i="1"/>
  <c r="CE85" i="1"/>
  <c r="CD85" i="1"/>
  <c r="CE84" i="1"/>
  <c r="CD84" i="1"/>
  <c r="CE83" i="1"/>
  <c r="CD83" i="1"/>
  <c r="CE82" i="1"/>
  <c r="CD82" i="1"/>
  <c r="CE81" i="1"/>
  <c r="CD81" i="1"/>
  <c r="CE80" i="1"/>
  <c r="CD80" i="1"/>
  <c r="CE79" i="1"/>
  <c r="CD79" i="1"/>
  <c r="CE78" i="1"/>
  <c r="CD78" i="1"/>
  <c r="CE77" i="1"/>
  <c r="CD77" i="1"/>
  <c r="CE76" i="1"/>
  <c r="CD76" i="1"/>
  <c r="CE75" i="1"/>
  <c r="CD75" i="1"/>
  <c r="CE74" i="1"/>
  <c r="CD74" i="1"/>
  <c r="CE73" i="1"/>
  <c r="CD73" i="1"/>
  <c r="CE72" i="1"/>
  <c r="CD72" i="1"/>
  <c r="CE70" i="1"/>
  <c r="CD70" i="1"/>
  <c r="CE69" i="1"/>
  <c r="CD69" i="1"/>
  <c r="CE68" i="1"/>
  <c r="CD68" i="1"/>
  <c r="CE67" i="1"/>
  <c r="CD67" i="1"/>
  <c r="CE66" i="1"/>
  <c r="CD66" i="1"/>
  <c r="CE65" i="1"/>
  <c r="CD65" i="1"/>
  <c r="CE64" i="1"/>
  <c r="CD64" i="1"/>
  <c r="CE63" i="1"/>
  <c r="CD63" i="1"/>
  <c r="CE62" i="1"/>
  <c r="CD62" i="1"/>
  <c r="CE61" i="1"/>
  <c r="CD61" i="1"/>
  <c r="CE60" i="1"/>
  <c r="CD60" i="1"/>
  <c r="CE59" i="1"/>
  <c r="CD59" i="1"/>
  <c r="CE58" i="1"/>
  <c r="CD58" i="1"/>
  <c r="CE57" i="1"/>
  <c r="CD57" i="1"/>
  <c r="CE56" i="1"/>
  <c r="CD56" i="1"/>
  <c r="CE55" i="1"/>
  <c r="CD55" i="1"/>
  <c r="CE54" i="1"/>
  <c r="CD54" i="1"/>
  <c r="CE53" i="1"/>
  <c r="CD53" i="1"/>
  <c r="CE52" i="1"/>
  <c r="CD52" i="1"/>
  <c r="CD49" i="1"/>
  <c r="CD47" i="1"/>
  <c r="CC45" i="1"/>
  <c r="CD45" i="1" s="1"/>
  <c r="CC44" i="1"/>
  <c r="CD44" i="1" s="1"/>
  <c r="CC43" i="1"/>
  <c r="CD43" i="1" s="1"/>
  <c r="CC42" i="1"/>
  <c r="CD42" i="1" s="1"/>
  <c r="CC41" i="1"/>
  <c r="CD41" i="1" s="1"/>
  <c r="CC40" i="1"/>
  <c r="CD40" i="1" s="1"/>
  <c r="CC39" i="1"/>
  <c r="CD39" i="1" s="1"/>
  <c r="CC38" i="1"/>
  <c r="CD38" i="1" s="1"/>
  <c r="CC37" i="1"/>
  <c r="CD37" i="1" s="1"/>
  <c r="CC36" i="1"/>
  <c r="CD36" i="1" s="1"/>
  <c r="CC35" i="1"/>
  <c r="CD35" i="1" s="1"/>
  <c r="CC34" i="1"/>
  <c r="CD34" i="1" s="1"/>
  <c r="CC33" i="1"/>
  <c r="CD33" i="1" s="1"/>
  <c r="CC32" i="1"/>
  <c r="CD32" i="1" s="1"/>
  <c r="CC31" i="1"/>
  <c r="CD31" i="1" s="1"/>
  <c r="CC30" i="1"/>
  <c r="CD30" i="1" s="1"/>
  <c r="CC29" i="1"/>
  <c r="CD29" i="1" s="1"/>
  <c r="CC28" i="1"/>
  <c r="CD28" i="1" s="1"/>
  <c r="CC27" i="1"/>
  <c r="CD27" i="1" s="1"/>
  <c r="CC26" i="1"/>
  <c r="CD26" i="1" s="1"/>
  <c r="CC25" i="1"/>
  <c r="CD25" i="1" s="1"/>
  <c r="CE25" i="1" s="1"/>
  <c r="CC24" i="1"/>
  <c r="CD24" i="1" s="1"/>
  <c r="CC23" i="1"/>
  <c r="CD23" i="1" s="1"/>
  <c r="CC22" i="1"/>
  <c r="CD22" i="1" s="1"/>
  <c r="CC21" i="1"/>
  <c r="CD21" i="1" s="1"/>
  <c r="CD17" i="1"/>
  <c r="CE17" i="1" s="1"/>
  <c r="CD16" i="1"/>
  <c r="CD15" i="1"/>
  <c r="CD14" i="1"/>
  <c r="CD13" i="1"/>
  <c r="CD12" i="1"/>
  <c r="CD10" i="1"/>
  <c r="CD9" i="1"/>
  <c r="CD8" i="1"/>
  <c r="BZ103" i="1"/>
  <c r="BY103" i="1"/>
  <c r="BZ101" i="1"/>
  <c r="BY101" i="1"/>
  <c r="BZ100" i="1"/>
  <c r="BY100" i="1"/>
  <c r="BZ99" i="1"/>
  <c r="BY99" i="1"/>
  <c r="BZ98" i="1"/>
  <c r="BY98" i="1"/>
  <c r="BZ96" i="1"/>
  <c r="BY96" i="1"/>
  <c r="BZ95" i="1"/>
  <c r="BY95" i="1"/>
  <c r="BZ94" i="1"/>
  <c r="BY94" i="1"/>
  <c r="BZ92" i="1"/>
  <c r="BY92" i="1"/>
  <c r="BZ91" i="1"/>
  <c r="BY91" i="1"/>
  <c r="BZ90" i="1"/>
  <c r="BY90" i="1"/>
  <c r="BZ89" i="1"/>
  <c r="BY89" i="1"/>
  <c r="BZ88" i="1"/>
  <c r="BY88" i="1"/>
  <c r="BZ87" i="1"/>
  <c r="BY87" i="1"/>
  <c r="BZ86" i="1"/>
  <c r="BY86" i="1"/>
  <c r="BZ85" i="1"/>
  <c r="BY85" i="1"/>
  <c r="BZ84" i="1"/>
  <c r="BY84" i="1"/>
  <c r="BZ83" i="1"/>
  <c r="BY83" i="1"/>
  <c r="BZ82" i="1"/>
  <c r="BY82" i="1"/>
  <c r="BZ81" i="1"/>
  <c r="BY81" i="1"/>
  <c r="BZ80" i="1"/>
  <c r="BY80" i="1"/>
  <c r="BZ79" i="1"/>
  <c r="BY79" i="1"/>
  <c r="BZ78" i="1"/>
  <c r="BY78" i="1"/>
  <c r="BZ77" i="1"/>
  <c r="BY77" i="1"/>
  <c r="BZ76" i="1"/>
  <c r="BY76" i="1"/>
  <c r="BZ75" i="1"/>
  <c r="BY75" i="1"/>
  <c r="BZ74" i="1"/>
  <c r="BY74" i="1"/>
  <c r="BZ73" i="1"/>
  <c r="BY73" i="1"/>
  <c r="BZ72" i="1"/>
  <c r="BY72" i="1"/>
  <c r="BZ70" i="1"/>
  <c r="BY70" i="1"/>
  <c r="BZ69" i="1"/>
  <c r="BY69" i="1"/>
  <c r="BZ68" i="1"/>
  <c r="BY68" i="1"/>
  <c r="BZ67" i="1"/>
  <c r="BY67" i="1"/>
  <c r="BZ66" i="1"/>
  <c r="BY66" i="1"/>
  <c r="BZ65" i="1"/>
  <c r="BY65" i="1"/>
  <c r="BZ64" i="1"/>
  <c r="BY64" i="1"/>
  <c r="BZ63" i="1"/>
  <c r="BY63" i="1"/>
  <c r="BZ62" i="1"/>
  <c r="BY62" i="1"/>
  <c r="BZ61" i="1"/>
  <c r="BY61" i="1"/>
  <c r="BZ60" i="1"/>
  <c r="BY60" i="1"/>
  <c r="BZ59" i="1"/>
  <c r="BY59" i="1"/>
  <c r="BZ58" i="1"/>
  <c r="BY58" i="1"/>
  <c r="BZ57" i="1"/>
  <c r="BY57" i="1"/>
  <c r="BZ56" i="1"/>
  <c r="BY56" i="1"/>
  <c r="BZ55" i="1"/>
  <c r="BY55" i="1"/>
  <c r="BZ54" i="1"/>
  <c r="BY54" i="1"/>
  <c r="BZ53" i="1"/>
  <c r="BY53" i="1"/>
  <c r="BZ52" i="1"/>
  <c r="BY52" i="1"/>
  <c r="BX45" i="1"/>
  <c r="BY45" i="1" s="1"/>
  <c r="BX44" i="1"/>
  <c r="BY44" i="1" s="1"/>
  <c r="BX43" i="1"/>
  <c r="BY43" i="1" s="1"/>
  <c r="BX42" i="1"/>
  <c r="BY42" i="1" s="1"/>
  <c r="BX41" i="1"/>
  <c r="BY41" i="1" s="1"/>
  <c r="BX40" i="1"/>
  <c r="BY40" i="1" s="1"/>
  <c r="BX39" i="1"/>
  <c r="BY39" i="1" s="1"/>
  <c r="BX38" i="1"/>
  <c r="BY38" i="1" s="1"/>
  <c r="BX37" i="1"/>
  <c r="BY37" i="1" s="1"/>
  <c r="BX36" i="1"/>
  <c r="BY36" i="1" s="1"/>
  <c r="BX35" i="1"/>
  <c r="BY35" i="1" s="1"/>
  <c r="BX34" i="1"/>
  <c r="BY34" i="1" s="1"/>
  <c r="BX33" i="1"/>
  <c r="BY33" i="1" s="1"/>
  <c r="BX32" i="1"/>
  <c r="BY32" i="1" s="1"/>
  <c r="BX31" i="1"/>
  <c r="BY31" i="1" s="1"/>
  <c r="BX30" i="1"/>
  <c r="BY30" i="1" s="1"/>
  <c r="BX29" i="1"/>
  <c r="BY29" i="1" s="1"/>
  <c r="BX28" i="1"/>
  <c r="BY28" i="1" s="1"/>
  <c r="BX27" i="1"/>
  <c r="BY27" i="1" s="1"/>
  <c r="BX26" i="1"/>
  <c r="BY26" i="1" s="1"/>
  <c r="BY25" i="1"/>
  <c r="BX24" i="1"/>
  <c r="BY24" i="1" s="1"/>
  <c r="BX23" i="1"/>
  <c r="BY23" i="1" s="1"/>
  <c r="BX22" i="1"/>
  <c r="BY22" i="1" s="1"/>
  <c r="BX21" i="1"/>
  <c r="BY21" i="1" s="1"/>
  <c r="BY19" i="1"/>
  <c r="BZ19" i="1" s="1"/>
  <c r="BY17" i="1"/>
  <c r="BZ17" i="1" s="1"/>
  <c r="BY16" i="1"/>
  <c r="BZ16" i="1" s="1"/>
  <c r="BY15" i="1"/>
  <c r="BZ15" i="1" s="1"/>
  <c r="BY14" i="1"/>
  <c r="BZ14" i="1" s="1"/>
  <c r="BY13" i="1"/>
  <c r="BZ13" i="1" s="1"/>
  <c r="BY12" i="1"/>
  <c r="BZ12" i="1" s="1"/>
  <c r="BY10" i="1"/>
  <c r="BZ10" i="1" s="1"/>
  <c r="BY9" i="1"/>
  <c r="BZ9" i="1" s="1"/>
  <c r="BY8" i="1"/>
  <c r="BZ8" i="1" s="1"/>
  <c r="D5" i="6" l="1"/>
  <c r="E5" i="6" s="1"/>
  <c r="BZ25" i="1"/>
  <c r="BO49" i="1"/>
  <c r="BO47" i="1"/>
  <c r="BN22" i="1"/>
  <c r="BO22" i="1" s="1"/>
  <c r="BN23" i="1"/>
  <c r="BO23" i="1" s="1"/>
  <c r="BN24" i="1"/>
  <c r="BO24" i="1" s="1"/>
  <c r="BN25" i="1"/>
  <c r="BO25" i="1" s="1"/>
  <c r="BP25" i="1" s="1"/>
  <c r="BN26" i="1"/>
  <c r="BO26" i="1" s="1"/>
  <c r="BN27" i="1"/>
  <c r="BO27" i="1" s="1"/>
  <c r="BN28" i="1"/>
  <c r="BO28" i="1" s="1"/>
  <c r="BN29" i="1"/>
  <c r="BO29" i="1" s="1"/>
  <c r="BN30" i="1"/>
  <c r="BO30" i="1" s="1"/>
  <c r="BN31" i="1"/>
  <c r="BO31" i="1" s="1"/>
  <c r="BN32" i="1"/>
  <c r="BO32" i="1" s="1"/>
  <c r="BN33" i="1"/>
  <c r="BO33" i="1" s="1"/>
  <c r="BN34" i="1"/>
  <c r="BO34" i="1" s="1"/>
  <c r="BN35" i="1"/>
  <c r="BO35" i="1" s="1"/>
  <c r="BN36" i="1"/>
  <c r="BO36" i="1" s="1"/>
  <c r="BN37" i="1"/>
  <c r="BO37" i="1" s="1"/>
  <c r="BN38" i="1"/>
  <c r="BO38" i="1" s="1"/>
  <c r="BN39" i="1"/>
  <c r="BO39" i="1" s="1"/>
  <c r="BN40" i="1"/>
  <c r="BO40" i="1" s="1"/>
  <c r="BN41" i="1"/>
  <c r="BO41" i="1" s="1"/>
  <c r="BN42" i="1"/>
  <c r="BO42" i="1" s="1"/>
  <c r="BN43" i="1"/>
  <c r="BO43" i="1" s="1"/>
  <c r="BN44" i="1"/>
  <c r="BO44" i="1" s="1"/>
  <c r="BN45" i="1"/>
  <c r="BO45" i="1" s="1"/>
  <c r="BN21" i="1"/>
  <c r="BO21" i="1" s="1"/>
  <c r="BO13" i="1"/>
  <c r="BO14" i="1"/>
  <c r="CQ14" i="1" s="1"/>
  <c r="BO15" i="1"/>
  <c r="BO16" i="1"/>
  <c r="BO17" i="1"/>
  <c r="BP17" i="1" s="1"/>
  <c r="BO19" i="1"/>
  <c r="BO12" i="1"/>
  <c r="BO9" i="1"/>
  <c r="BO10" i="1"/>
  <c r="BO8" i="1"/>
  <c r="BH10" i="1"/>
  <c r="AG52" i="1"/>
  <c r="BP103" i="1"/>
  <c r="BO103" i="1"/>
  <c r="BP101" i="1"/>
  <c r="BO101" i="1"/>
  <c r="BP100" i="1"/>
  <c r="BO100" i="1"/>
  <c r="BP99" i="1"/>
  <c r="BO99" i="1"/>
  <c r="BP98" i="1"/>
  <c r="BO98" i="1"/>
  <c r="BP96" i="1"/>
  <c r="BO96" i="1"/>
  <c r="BP95" i="1"/>
  <c r="BO95" i="1"/>
  <c r="BP94" i="1"/>
  <c r="BO94" i="1"/>
  <c r="BP92" i="1"/>
  <c r="BO92" i="1"/>
  <c r="BP91" i="1"/>
  <c r="BO91" i="1"/>
  <c r="BP90" i="1"/>
  <c r="BO90" i="1"/>
  <c r="BP89" i="1"/>
  <c r="BO89" i="1"/>
  <c r="BP88" i="1"/>
  <c r="BO88" i="1"/>
  <c r="BP87" i="1"/>
  <c r="BO87" i="1"/>
  <c r="BP86" i="1"/>
  <c r="BO86" i="1"/>
  <c r="BP85" i="1"/>
  <c r="BO85" i="1"/>
  <c r="BP84" i="1"/>
  <c r="BO84" i="1"/>
  <c r="BP83" i="1"/>
  <c r="BO83" i="1"/>
  <c r="BP82" i="1"/>
  <c r="BO82" i="1"/>
  <c r="BP81" i="1"/>
  <c r="BO81" i="1"/>
  <c r="BP80" i="1"/>
  <c r="BO80" i="1"/>
  <c r="BP79" i="1"/>
  <c r="BO79" i="1"/>
  <c r="BP78" i="1"/>
  <c r="BO78" i="1"/>
  <c r="BP77" i="1"/>
  <c r="BO77" i="1"/>
  <c r="BP76" i="1"/>
  <c r="BO76" i="1"/>
  <c r="BP75" i="1"/>
  <c r="BO75" i="1"/>
  <c r="BP74" i="1"/>
  <c r="BO74" i="1"/>
  <c r="BP73" i="1"/>
  <c r="BO73" i="1"/>
  <c r="BP72" i="1"/>
  <c r="BO72" i="1"/>
  <c r="BP70" i="1"/>
  <c r="BO70" i="1"/>
  <c r="BP69" i="1"/>
  <c r="BO69" i="1"/>
  <c r="BP68" i="1"/>
  <c r="BO68" i="1"/>
  <c r="BP67" i="1"/>
  <c r="BO67" i="1"/>
  <c r="BP66" i="1"/>
  <c r="BO66" i="1"/>
  <c r="BP65" i="1"/>
  <c r="BO65" i="1"/>
  <c r="BP64" i="1"/>
  <c r="BO64" i="1"/>
  <c r="BP63" i="1"/>
  <c r="BO63" i="1"/>
  <c r="BP62" i="1"/>
  <c r="BO62" i="1"/>
  <c r="BP61" i="1"/>
  <c r="BO61" i="1"/>
  <c r="BP60" i="1"/>
  <c r="BO60" i="1"/>
  <c r="BP59" i="1"/>
  <c r="BO59" i="1"/>
  <c r="BP58" i="1"/>
  <c r="BO58" i="1"/>
  <c r="BP57" i="1"/>
  <c r="BO57" i="1"/>
  <c r="BP56" i="1"/>
  <c r="BO56" i="1"/>
  <c r="BP55" i="1"/>
  <c r="BO55" i="1"/>
  <c r="BP54" i="1"/>
  <c r="BO54" i="1"/>
  <c r="BP53" i="1"/>
  <c r="BO53" i="1"/>
  <c r="BP52" i="1"/>
  <c r="BO52" i="1"/>
  <c r="B4" i="1"/>
  <c r="E8" i="10"/>
  <c r="E7" i="9"/>
  <c r="E6" i="9"/>
  <c r="E5" i="9"/>
  <c r="E16" i="7"/>
  <c r="E15" i="7"/>
  <c r="E7" i="7"/>
  <c r="E6" i="7"/>
  <c r="BK103" i="1"/>
  <c r="BJ103" i="1"/>
  <c r="BF103" i="1"/>
  <c r="BE103" i="1"/>
  <c r="BC103" i="1"/>
  <c r="BD103" i="1" s="1"/>
  <c r="BA103" i="1"/>
  <c r="AZ103" i="1"/>
  <c r="AY103" i="1"/>
  <c r="AV103" i="1"/>
  <c r="AU103" i="1"/>
  <c r="AT103" i="1"/>
  <c r="AQ103" i="1"/>
  <c r="AP103" i="1"/>
  <c r="AL103" i="1"/>
  <c r="AK103" i="1"/>
  <c r="AG103" i="1"/>
  <c r="AF103" i="1"/>
  <c r="AB103" i="1"/>
  <c r="AA103" i="1"/>
  <c r="W103" i="1"/>
  <c r="V103" i="1"/>
  <c r="R103" i="1"/>
  <c r="Q103" i="1"/>
  <c r="M103" i="1"/>
  <c r="L103" i="1"/>
  <c r="G103" i="1"/>
  <c r="D103" i="1"/>
  <c r="BK101" i="1"/>
  <c r="BJ101" i="1"/>
  <c r="BF101" i="1"/>
  <c r="BE101" i="1"/>
  <c r="BA101" i="1"/>
  <c r="AZ101" i="1"/>
  <c r="AV101" i="1"/>
  <c r="AU101" i="1"/>
  <c r="AQ101" i="1"/>
  <c r="AP101" i="1"/>
  <c r="AL101" i="1"/>
  <c r="AK101" i="1"/>
  <c r="AG101" i="1"/>
  <c r="AF101" i="1"/>
  <c r="AB101" i="1"/>
  <c r="AA101" i="1"/>
  <c r="W101" i="1"/>
  <c r="V101" i="1"/>
  <c r="R101" i="1"/>
  <c r="Q101" i="1"/>
  <c r="M101" i="1"/>
  <c r="L101" i="1"/>
  <c r="G101" i="1"/>
  <c r="D101" i="1"/>
  <c r="BK100" i="1"/>
  <c r="BJ100" i="1"/>
  <c r="BF100" i="1"/>
  <c r="BE100" i="1"/>
  <c r="BA100" i="1"/>
  <c r="AZ100" i="1"/>
  <c r="AV100" i="1"/>
  <c r="AU100" i="1"/>
  <c r="AQ100" i="1"/>
  <c r="AP100" i="1"/>
  <c r="AL100" i="1"/>
  <c r="AK100" i="1"/>
  <c r="AG100" i="1"/>
  <c r="AF100" i="1"/>
  <c r="AB100" i="1"/>
  <c r="AA100" i="1"/>
  <c r="W100" i="1"/>
  <c r="V100" i="1"/>
  <c r="R100" i="1"/>
  <c r="Q100" i="1"/>
  <c r="M100" i="1"/>
  <c r="L100" i="1"/>
  <c r="G100" i="1"/>
  <c r="D100" i="1"/>
  <c r="BK99" i="1"/>
  <c r="BJ99" i="1"/>
  <c r="BF99" i="1"/>
  <c r="BE99" i="1"/>
  <c r="BA99" i="1"/>
  <c r="AZ99" i="1"/>
  <c r="AV99" i="1"/>
  <c r="AU99" i="1"/>
  <c r="AQ99" i="1"/>
  <c r="AP99" i="1"/>
  <c r="AL99" i="1"/>
  <c r="AK99" i="1"/>
  <c r="AG99" i="1"/>
  <c r="AF99" i="1"/>
  <c r="AB99" i="1"/>
  <c r="AA99" i="1"/>
  <c r="W99" i="1"/>
  <c r="V99" i="1"/>
  <c r="R99" i="1"/>
  <c r="Q99" i="1"/>
  <c r="M99" i="1"/>
  <c r="L99" i="1"/>
  <c r="G99" i="1"/>
  <c r="D99" i="1"/>
  <c r="BK98" i="1"/>
  <c r="BJ98" i="1"/>
  <c r="BF98" i="1"/>
  <c r="BE98" i="1"/>
  <c r="BA98" i="1"/>
  <c r="AZ98" i="1"/>
  <c r="AV98" i="1"/>
  <c r="AU98" i="1"/>
  <c r="AQ98" i="1"/>
  <c r="AP98" i="1"/>
  <c r="AL98" i="1"/>
  <c r="AK98" i="1"/>
  <c r="AG98" i="1"/>
  <c r="AF98" i="1"/>
  <c r="AB98" i="1"/>
  <c r="AA98" i="1"/>
  <c r="W98" i="1"/>
  <c r="V98" i="1"/>
  <c r="R98" i="1"/>
  <c r="Q98" i="1"/>
  <c r="M98" i="1"/>
  <c r="L98" i="1"/>
  <c r="G98" i="1"/>
  <c r="D98" i="1"/>
  <c r="BK96" i="1"/>
  <c r="BJ96" i="1"/>
  <c r="BF96" i="1"/>
  <c r="BE96" i="1"/>
  <c r="BC96" i="1"/>
  <c r="BD96" i="1" s="1"/>
  <c r="BA96" i="1"/>
  <c r="AZ96" i="1"/>
  <c r="AY96" i="1"/>
  <c r="AV96" i="1"/>
  <c r="AU96" i="1"/>
  <c r="AT96" i="1"/>
  <c r="AQ96" i="1"/>
  <c r="AP96" i="1"/>
  <c r="AL96" i="1"/>
  <c r="AK96" i="1"/>
  <c r="AG96" i="1"/>
  <c r="AF96" i="1"/>
  <c r="AB96" i="1"/>
  <c r="AA96" i="1"/>
  <c r="W96" i="1"/>
  <c r="V96" i="1"/>
  <c r="R96" i="1"/>
  <c r="Q96" i="1"/>
  <c r="M96" i="1"/>
  <c r="L96" i="1"/>
  <c r="D96" i="1"/>
  <c r="BK95" i="1"/>
  <c r="BJ95" i="1"/>
  <c r="BF95" i="1"/>
  <c r="BE95" i="1"/>
  <c r="BC95" i="1"/>
  <c r="BD95" i="1" s="1"/>
  <c r="BA95" i="1"/>
  <c r="AZ95" i="1"/>
  <c r="AY95" i="1"/>
  <c r="AV95" i="1"/>
  <c r="AU95" i="1"/>
  <c r="AT95" i="1"/>
  <c r="AQ95" i="1"/>
  <c r="AP95" i="1"/>
  <c r="AL95" i="1"/>
  <c r="AK95" i="1"/>
  <c r="AG95" i="1"/>
  <c r="AF95" i="1"/>
  <c r="AB95" i="1"/>
  <c r="AA95" i="1"/>
  <c r="W95" i="1"/>
  <c r="V95" i="1"/>
  <c r="R95" i="1"/>
  <c r="Q95" i="1"/>
  <c r="M95" i="1"/>
  <c r="L95" i="1"/>
  <c r="D95" i="1"/>
  <c r="BK94" i="1"/>
  <c r="BJ94" i="1"/>
  <c r="BF94" i="1"/>
  <c r="BE94" i="1"/>
  <c r="BC94" i="1"/>
  <c r="BD94" i="1" s="1"/>
  <c r="BA94" i="1"/>
  <c r="AZ94" i="1"/>
  <c r="AY94" i="1"/>
  <c r="AV94" i="1"/>
  <c r="AU94" i="1"/>
  <c r="AT94" i="1"/>
  <c r="AQ94" i="1"/>
  <c r="AP94" i="1"/>
  <c r="AL94" i="1"/>
  <c r="AK94" i="1"/>
  <c r="AG94" i="1"/>
  <c r="AF94" i="1"/>
  <c r="AB94" i="1"/>
  <c r="AA94" i="1"/>
  <c r="W94" i="1"/>
  <c r="V94" i="1"/>
  <c r="R94" i="1"/>
  <c r="Q94" i="1"/>
  <c r="M94" i="1"/>
  <c r="L94" i="1"/>
  <c r="G94" i="1"/>
  <c r="D94" i="1"/>
  <c r="BK92" i="1"/>
  <c r="BJ92" i="1"/>
  <c r="BF92" i="1"/>
  <c r="BE92" i="1"/>
  <c r="BA92" i="1"/>
  <c r="AZ92" i="1"/>
  <c r="AV92" i="1"/>
  <c r="AU92" i="1"/>
  <c r="AQ92" i="1"/>
  <c r="AP92" i="1"/>
  <c r="W92" i="1"/>
  <c r="V92" i="1"/>
  <c r="R92" i="1"/>
  <c r="Q92" i="1"/>
  <c r="M92" i="1"/>
  <c r="L92" i="1"/>
  <c r="G92" i="1"/>
  <c r="D92" i="1"/>
  <c r="AL92" i="1" s="1"/>
  <c r="BK91" i="1"/>
  <c r="BJ91" i="1"/>
  <c r="BF91" i="1"/>
  <c r="BE91" i="1"/>
  <c r="BA91" i="1"/>
  <c r="AZ91" i="1"/>
  <c r="AV91" i="1"/>
  <c r="AU91" i="1"/>
  <c r="AQ91" i="1"/>
  <c r="AP91" i="1"/>
  <c r="W91" i="1"/>
  <c r="V91" i="1"/>
  <c r="R91" i="1"/>
  <c r="Q91" i="1"/>
  <c r="M91" i="1"/>
  <c r="L91" i="1"/>
  <c r="G91" i="1"/>
  <c r="D91" i="1"/>
  <c r="AL91" i="1" s="1"/>
  <c r="BK90" i="1"/>
  <c r="BJ90" i="1"/>
  <c r="BF90" i="1"/>
  <c r="BE90" i="1"/>
  <c r="BA90" i="1"/>
  <c r="AZ90" i="1"/>
  <c r="AV90" i="1"/>
  <c r="AU90" i="1"/>
  <c r="AQ90" i="1"/>
  <c r="AP90" i="1"/>
  <c r="AL90" i="1"/>
  <c r="AK90" i="1"/>
  <c r="AJ90" i="1"/>
  <c r="AG90" i="1"/>
  <c r="AF90" i="1"/>
  <c r="AE90" i="1"/>
  <c r="AB90" i="1"/>
  <c r="AA90" i="1"/>
  <c r="Z90" i="1"/>
  <c r="W90" i="1"/>
  <c r="V90" i="1"/>
  <c r="R90" i="1"/>
  <c r="Q90" i="1"/>
  <c r="M90" i="1"/>
  <c r="L90" i="1"/>
  <c r="G90" i="1"/>
  <c r="D90" i="1"/>
  <c r="BK89" i="1"/>
  <c r="BJ89" i="1"/>
  <c r="BF89" i="1"/>
  <c r="BE89" i="1"/>
  <c r="BA89" i="1"/>
  <c r="AZ89" i="1"/>
  <c r="AV89" i="1"/>
  <c r="AU89" i="1"/>
  <c r="AQ89" i="1"/>
  <c r="AP89" i="1"/>
  <c r="AL89" i="1"/>
  <c r="AK89" i="1"/>
  <c r="AJ89" i="1"/>
  <c r="AG89" i="1"/>
  <c r="AF89" i="1"/>
  <c r="AE89" i="1"/>
  <c r="AB89" i="1"/>
  <c r="AA89" i="1"/>
  <c r="Z89" i="1"/>
  <c r="W89" i="1"/>
  <c r="V89" i="1"/>
  <c r="R89" i="1"/>
  <c r="Q89" i="1"/>
  <c r="M89" i="1"/>
  <c r="L89" i="1"/>
  <c r="G89" i="1"/>
  <c r="D89" i="1"/>
  <c r="BK88" i="1"/>
  <c r="BJ88" i="1"/>
  <c r="BF88" i="1"/>
  <c r="BE88" i="1"/>
  <c r="BA88" i="1"/>
  <c r="AZ88" i="1"/>
  <c r="AV88" i="1"/>
  <c r="AU88" i="1"/>
  <c r="AQ88" i="1"/>
  <c r="AP88" i="1"/>
  <c r="AL88" i="1"/>
  <c r="AK88" i="1"/>
  <c r="AG88" i="1"/>
  <c r="AF88" i="1"/>
  <c r="AE88" i="1"/>
  <c r="AB88" i="1"/>
  <c r="AA88" i="1"/>
  <c r="Z88" i="1"/>
  <c r="W88" i="1"/>
  <c r="V88" i="1"/>
  <c r="R88" i="1"/>
  <c r="Q88" i="1"/>
  <c r="M88" i="1"/>
  <c r="L88" i="1"/>
  <c r="G88" i="1"/>
  <c r="D88" i="1"/>
  <c r="BK87" i="1"/>
  <c r="BJ87" i="1"/>
  <c r="BF87" i="1"/>
  <c r="BE87" i="1"/>
  <c r="BA87" i="1"/>
  <c r="AZ87" i="1"/>
  <c r="AV87" i="1"/>
  <c r="AU87" i="1"/>
  <c r="AQ87" i="1"/>
  <c r="AP87" i="1"/>
  <c r="AL87" i="1"/>
  <c r="AK87" i="1"/>
  <c r="AG87" i="1"/>
  <c r="AF87" i="1"/>
  <c r="AE87" i="1"/>
  <c r="AB87" i="1"/>
  <c r="AA87" i="1"/>
  <c r="Z87" i="1"/>
  <c r="W87" i="1"/>
  <c r="V87" i="1"/>
  <c r="R87" i="1"/>
  <c r="Q87" i="1"/>
  <c r="M87" i="1"/>
  <c r="L87" i="1"/>
  <c r="G87" i="1"/>
  <c r="D87" i="1"/>
  <c r="BK86" i="1"/>
  <c r="BJ86" i="1"/>
  <c r="BF86" i="1"/>
  <c r="BE86" i="1"/>
  <c r="BA86" i="1"/>
  <c r="AZ86" i="1"/>
  <c r="AV86" i="1"/>
  <c r="AU86" i="1"/>
  <c r="AQ86" i="1"/>
  <c r="AP86" i="1"/>
  <c r="AL86" i="1"/>
  <c r="AK86" i="1"/>
  <c r="AJ86" i="1"/>
  <c r="AG86" i="1"/>
  <c r="AF86" i="1"/>
  <c r="AE86" i="1"/>
  <c r="AB86" i="1"/>
  <c r="AA86" i="1"/>
  <c r="Z86" i="1"/>
  <c r="W86" i="1"/>
  <c r="V86" i="1"/>
  <c r="R86" i="1"/>
  <c r="Q86" i="1"/>
  <c r="M86" i="1"/>
  <c r="L86" i="1"/>
  <c r="G86" i="1"/>
  <c r="D86" i="1"/>
  <c r="BK85" i="1"/>
  <c r="BJ85" i="1"/>
  <c r="BF85" i="1"/>
  <c r="BE85" i="1"/>
  <c r="BA85" i="1"/>
  <c r="AZ85" i="1"/>
  <c r="AV85" i="1"/>
  <c r="AU85" i="1"/>
  <c r="AQ85" i="1"/>
  <c r="AP85" i="1"/>
  <c r="AL85" i="1"/>
  <c r="AK85" i="1"/>
  <c r="AJ85" i="1"/>
  <c r="AG85" i="1"/>
  <c r="AF85" i="1"/>
  <c r="AE85" i="1"/>
  <c r="AB85" i="1"/>
  <c r="AA85" i="1"/>
  <c r="Z85" i="1"/>
  <c r="W85" i="1"/>
  <c r="V85" i="1"/>
  <c r="R85" i="1"/>
  <c r="Q85" i="1"/>
  <c r="M85" i="1"/>
  <c r="L85" i="1"/>
  <c r="G85" i="1"/>
  <c r="D85" i="1"/>
  <c r="BK84" i="1"/>
  <c r="BJ84" i="1"/>
  <c r="BF84" i="1"/>
  <c r="BE84" i="1"/>
  <c r="BA84" i="1"/>
  <c r="AZ84" i="1"/>
  <c r="AV84" i="1"/>
  <c r="AU84" i="1"/>
  <c r="AQ84" i="1"/>
  <c r="AP84" i="1"/>
  <c r="AL84" i="1"/>
  <c r="AK84" i="1"/>
  <c r="AJ84" i="1"/>
  <c r="AG84" i="1"/>
  <c r="AF84" i="1"/>
  <c r="AE84" i="1"/>
  <c r="AB84" i="1"/>
  <c r="AA84" i="1"/>
  <c r="Z84" i="1"/>
  <c r="W84" i="1"/>
  <c r="V84" i="1"/>
  <c r="R84" i="1"/>
  <c r="Q84" i="1"/>
  <c r="M84" i="1"/>
  <c r="L84" i="1"/>
  <c r="G84" i="1"/>
  <c r="D84" i="1"/>
  <c r="BK83" i="1"/>
  <c r="BJ83" i="1"/>
  <c r="BF83" i="1"/>
  <c r="BE83" i="1"/>
  <c r="BA83" i="1"/>
  <c r="AZ83" i="1"/>
  <c r="AV83" i="1"/>
  <c r="AU83" i="1"/>
  <c r="AQ83" i="1"/>
  <c r="AP83" i="1"/>
  <c r="AL83" i="1"/>
  <c r="AK83" i="1"/>
  <c r="AJ83" i="1"/>
  <c r="AG83" i="1"/>
  <c r="AF83" i="1"/>
  <c r="AE83" i="1"/>
  <c r="AB83" i="1"/>
  <c r="AA83" i="1"/>
  <c r="W83" i="1"/>
  <c r="V83" i="1"/>
  <c r="R83" i="1"/>
  <c r="Q83" i="1"/>
  <c r="M83" i="1"/>
  <c r="L83" i="1"/>
  <c r="G83" i="1"/>
  <c r="D83" i="1"/>
  <c r="BK82" i="1"/>
  <c r="BJ82" i="1"/>
  <c r="BF82" i="1"/>
  <c r="BE82" i="1"/>
  <c r="BA82" i="1"/>
  <c r="AZ82" i="1"/>
  <c r="AV82" i="1"/>
  <c r="AU82" i="1"/>
  <c r="AQ82" i="1"/>
  <c r="AP82" i="1"/>
  <c r="W82" i="1"/>
  <c r="V82" i="1"/>
  <c r="R82" i="1"/>
  <c r="Q82" i="1"/>
  <c r="M82" i="1"/>
  <c r="L82" i="1"/>
  <c r="G82" i="1"/>
  <c r="D82" i="1"/>
  <c r="AL82" i="1" s="1"/>
  <c r="BK81" i="1"/>
  <c r="BJ81" i="1"/>
  <c r="BF81" i="1"/>
  <c r="BE81" i="1"/>
  <c r="BA81" i="1"/>
  <c r="AZ81" i="1"/>
  <c r="AV81" i="1"/>
  <c r="AU81" i="1"/>
  <c r="AQ81" i="1"/>
  <c r="AP81" i="1"/>
  <c r="AL81" i="1"/>
  <c r="AK81" i="1"/>
  <c r="AJ81" i="1"/>
  <c r="AG81" i="1"/>
  <c r="AF81" i="1"/>
  <c r="AE81" i="1"/>
  <c r="AB81" i="1"/>
  <c r="AA81" i="1"/>
  <c r="Z81" i="1"/>
  <c r="W81" i="1"/>
  <c r="V81" i="1"/>
  <c r="R81" i="1"/>
  <c r="Q81" i="1"/>
  <c r="M81" i="1"/>
  <c r="L81" i="1"/>
  <c r="G81" i="1"/>
  <c r="D81" i="1"/>
  <c r="BK80" i="1"/>
  <c r="BJ80" i="1"/>
  <c r="BF80" i="1"/>
  <c r="BE80" i="1"/>
  <c r="BA80" i="1"/>
  <c r="AZ80" i="1"/>
  <c r="AV80" i="1"/>
  <c r="AU80" i="1"/>
  <c r="AQ80" i="1"/>
  <c r="AP80" i="1"/>
  <c r="AL80" i="1"/>
  <c r="AK80" i="1"/>
  <c r="AJ80" i="1"/>
  <c r="AG80" i="1"/>
  <c r="AF80" i="1"/>
  <c r="AE80" i="1"/>
  <c r="AB80" i="1"/>
  <c r="AA80" i="1"/>
  <c r="Z80" i="1"/>
  <c r="W80" i="1"/>
  <c r="V80" i="1"/>
  <c r="R80" i="1"/>
  <c r="Q80" i="1"/>
  <c r="M80" i="1"/>
  <c r="L80" i="1"/>
  <c r="G80" i="1"/>
  <c r="D80" i="1"/>
  <c r="BK79" i="1"/>
  <c r="BJ79" i="1"/>
  <c r="BF79" i="1"/>
  <c r="BE79" i="1"/>
  <c r="BA79" i="1"/>
  <c r="AZ79" i="1"/>
  <c r="AV79" i="1"/>
  <c r="AU79" i="1"/>
  <c r="AQ79" i="1"/>
  <c r="AP79" i="1"/>
  <c r="AL79" i="1"/>
  <c r="AK79" i="1"/>
  <c r="AG79" i="1"/>
  <c r="AF79" i="1"/>
  <c r="CQ79" i="1" s="1"/>
  <c r="D14" i="8" s="1"/>
  <c r="E14" i="8" s="1"/>
  <c r="AE79" i="1"/>
  <c r="AB79" i="1"/>
  <c r="AA79" i="1"/>
  <c r="W79" i="1"/>
  <c r="V79" i="1"/>
  <c r="R79" i="1"/>
  <c r="Q79" i="1"/>
  <c r="M79" i="1"/>
  <c r="L79" i="1"/>
  <c r="G79" i="1"/>
  <c r="D79" i="1"/>
  <c r="BK78" i="1"/>
  <c r="BJ78" i="1"/>
  <c r="BF78" i="1"/>
  <c r="BE78" i="1"/>
  <c r="BA78" i="1"/>
  <c r="AZ78" i="1"/>
  <c r="AV78" i="1"/>
  <c r="AU78" i="1"/>
  <c r="AQ78" i="1"/>
  <c r="AP78" i="1"/>
  <c r="AL78" i="1"/>
  <c r="AK78" i="1"/>
  <c r="AG78" i="1"/>
  <c r="AF78" i="1"/>
  <c r="CQ78" i="1" s="1"/>
  <c r="D13" i="8" s="1"/>
  <c r="E13" i="8" s="1"/>
  <c r="AE78" i="1"/>
  <c r="AB78" i="1"/>
  <c r="AA78" i="1"/>
  <c r="W78" i="1"/>
  <c r="V78" i="1"/>
  <c r="R78" i="1"/>
  <c r="Q78" i="1"/>
  <c r="M78" i="1"/>
  <c r="L78" i="1"/>
  <c r="G78" i="1"/>
  <c r="D78" i="1"/>
  <c r="BK77" i="1"/>
  <c r="BJ77" i="1"/>
  <c r="BF77" i="1"/>
  <c r="BE77" i="1"/>
  <c r="BA77" i="1"/>
  <c r="AZ77" i="1"/>
  <c r="AV77" i="1"/>
  <c r="AU77" i="1"/>
  <c r="AQ77" i="1"/>
  <c r="AP77" i="1"/>
  <c r="AL77" i="1"/>
  <c r="AK77" i="1"/>
  <c r="AJ77" i="1"/>
  <c r="AG77" i="1"/>
  <c r="AF77" i="1"/>
  <c r="AE77" i="1"/>
  <c r="AB77" i="1"/>
  <c r="AA77" i="1"/>
  <c r="Z77" i="1"/>
  <c r="W77" i="1"/>
  <c r="V77" i="1"/>
  <c r="R77" i="1"/>
  <c r="Q77" i="1"/>
  <c r="M77" i="1"/>
  <c r="L77" i="1"/>
  <c r="G77" i="1"/>
  <c r="D77" i="1"/>
  <c r="BK76" i="1"/>
  <c r="BJ76" i="1"/>
  <c r="BF76" i="1"/>
  <c r="BE76" i="1"/>
  <c r="BA76" i="1"/>
  <c r="AZ76" i="1"/>
  <c r="AV76" i="1"/>
  <c r="AU76" i="1"/>
  <c r="AQ76" i="1"/>
  <c r="AP76" i="1"/>
  <c r="AL76" i="1"/>
  <c r="AK76" i="1"/>
  <c r="AJ76" i="1"/>
  <c r="AG76" i="1"/>
  <c r="AF76" i="1"/>
  <c r="AE76" i="1"/>
  <c r="AB76" i="1"/>
  <c r="AA76" i="1"/>
  <c r="Z76" i="1"/>
  <c r="W76" i="1"/>
  <c r="V76" i="1"/>
  <c r="R76" i="1"/>
  <c r="Q76" i="1"/>
  <c r="M76" i="1"/>
  <c r="L76" i="1"/>
  <c r="G76" i="1"/>
  <c r="D76" i="1"/>
  <c r="BK75" i="1"/>
  <c r="BJ75" i="1"/>
  <c r="BF75" i="1"/>
  <c r="BE75" i="1"/>
  <c r="BA75" i="1"/>
  <c r="AZ75" i="1"/>
  <c r="AV75" i="1"/>
  <c r="AU75" i="1"/>
  <c r="AQ75" i="1"/>
  <c r="AP75" i="1"/>
  <c r="AL75" i="1"/>
  <c r="AK75" i="1"/>
  <c r="AJ75" i="1"/>
  <c r="AG75" i="1"/>
  <c r="AF75" i="1"/>
  <c r="AE75" i="1"/>
  <c r="AB75" i="1"/>
  <c r="AA75" i="1"/>
  <c r="Z75" i="1"/>
  <c r="W75" i="1"/>
  <c r="V75" i="1"/>
  <c r="R75" i="1"/>
  <c r="Q75" i="1"/>
  <c r="M75" i="1"/>
  <c r="L75" i="1"/>
  <c r="G75" i="1"/>
  <c r="D75" i="1"/>
  <c r="BK74" i="1"/>
  <c r="BJ74" i="1"/>
  <c r="BF74" i="1"/>
  <c r="BE74" i="1"/>
  <c r="BA74" i="1"/>
  <c r="AZ74" i="1"/>
  <c r="AV74" i="1"/>
  <c r="AU74" i="1"/>
  <c r="AQ74" i="1"/>
  <c r="AP74" i="1"/>
  <c r="AL74" i="1"/>
  <c r="AK74" i="1"/>
  <c r="AJ74" i="1"/>
  <c r="AG74" i="1"/>
  <c r="AF74" i="1"/>
  <c r="AE74" i="1"/>
  <c r="AB74" i="1"/>
  <c r="AA74" i="1"/>
  <c r="Z74" i="1"/>
  <c r="W74" i="1"/>
  <c r="V74" i="1"/>
  <c r="R74" i="1"/>
  <c r="Q74" i="1"/>
  <c r="M74" i="1"/>
  <c r="L74" i="1"/>
  <c r="G74" i="1"/>
  <c r="D74" i="1"/>
  <c r="BK73" i="1"/>
  <c r="BJ73" i="1"/>
  <c r="BF73" i="1"/>
  <c r="BE73" i="1"/>
  <c r="BA73" i="1"/>
  <c r="AZ73" i="1"/>
  <c r="AV73" i="1"/>
  <c r="AU73" i="1"/>
  <c r="AQ73" i="1"/>
  <c r="AP73" i="1"/>
  <c r="AL73" i="1"/>
  <c r="AK73" i="1"/>
  <c r="AJ73" i="1"/>
  <c r="AG73" i="1"/>
  <c r="AF73" i="1"/>
  <c r="AE73" i="1"/>
  <c r="AB73" i="1"/>
  <c r="AA73" i="1"/>
  <c r="Z73" i="1"/>
  <c r="W73" i="1"/>
  <c r="V73" i="1"/>
  <c r="R73" i="1"/>
  <c r="Q73" i="1"/>
  <c r="M73" i="1"/>
  <c r="L73" i="1"/>
  <c r="G73" i="1"/>
  <c r="D73" i="1"/>
  <c r="BK72" i="1"/>
  <c r="BJ72" i="1"/>
  <c r="BF72" i="1"/>
  <c r="BE72" i="1"/>
  <c r="BA72" i="1"/>
  <c r="AZ72" i="1"/>
  <c r="AV72" i="1"/>
  <c r="AU72" i="1"/>
  <c r="AQ72" i="1"/>
  <c r="AP72" i="1"/>
  <c r="AL72" i="1"/>
  <c r="AK72" i="1"/>
  <c r="AJ72" i="1"/>
  <c r="AG72" i="1"/>
  <c r="AF72" i="1"/>
  <c r="AE72" i="1"/>
  <c r="AB72" i="1"/>
  <c r="AA72" i="1"/>
  <c r="Z72" i="1"/>
  <c r="W72" i="1"/>
  <c r="V72" i="1"/>
  <c r="R72" i="1"/>
  <c r="Q72" i="1"/>
  <c r="M72" i="1"/>
  <c r="L72" i="1"/>
  <c r="G72" i="1"/>
  <c r="D72" i="1"/>
  <c r="BK70" i="1"/>
  <c r="BJ70" i="1"/>
  <c r="BF70" i="1"/>
  <c r="BE70" i="1"/>
  <c r="BA70" i="1"/>
  <c r="AZ70" i="1"/>
  <c r="AV70" i="1"/>
  <c r="AU70" i="1"/>
  <c r="AQ70" i="1"/>
  <c r="AP70" i="1"/>
  <c r="AL70" i="1"/>
  <c r="AK70" i="1"/>
  <c r="AG70" i="1"/>
  <c r="AF70" i="1"/>
  <c r="CQ70" i="1" s="1"/>
  <c r="AE70" i="1"/>
  <c r="AB70" i="1"/>
  <c r="AA70" i="1"/>
  <c r="W70" i="1"/>
  <c r="V70" i="1"/>
  <c r="R70" i="1"/>
  <c r="Q70" i="1"/>
  <c r="M70" i="1"/>
  <c r="L70" i="1"/>
  <c r="G70" i="1"/>
  <c r="D70" i="1"/>
  <c r="BK69" i="1"/>
  <c r="BJ69" i="1"/>
  <c r="BF69" i="1"/>
  <c r="BE69" i="1"/>
  <c r="BA69" i="1"/>
  <c r="AZ69" i="1"/>
  <c r="AV69" i="1"/>
  <c r="AU69" i="1"/>
  <c r="AQ69" i="1"/>
  <c r="AP69" i="1"/>
  <c r="AL69" i="1"/>
  <c r="AK69" i="1"/>
  <c r="AG69" i="1"/>
  <c r="AF69" i="1"/>
  <c r="CQ69" i="1" s="1"/>
  <c r="AE69" i="1"/>
  <c r="AB69" i="1"/>
  <c r="AA69" i="1"/>
  <c r="W69" i="1"/>
  <c r="V69" i="1"/>
  <c r="R69" i="1"/>
  <c r="Q69" i="1"/>
  <c r="M69" i="1"/>
  <c r="L69" i="1"/>
  <c r="G69" i="1"/>
  <c r="D69" i="1"/>
  <c r="BK68" i="1"/>
  <c r="BJ68" i="1"/>
  <c r="BF68" i="1"/>
  <c r="BE68" i="1"/>
  <c r="BA68" i="1"/>
  <c r="AZ68" i="1"/>
  <c r="AV68" i="1"/>
  <c r="AU68" i="1"/>
  <c r="AQ68" i="1"/>
  <c r="AP68" i="1"/>
  <c r="AL68" i="1"/>
  <c r="AK68" i="1"/>
  <c r="AG68" i="1"/>
  <c r="AF68" i="1"/>
  <c r="CQ68" i="1" s="1"/>
  <c r="AE68" i="1"/>
  <c r="AB68" i="1"/>
  <c r="AA68" i="1"/>
  <c r="W68" i="1"/>
  <c r="V68" i="1"/>
  <c r="R68" i="1"/>
  <c r="Q68" i="1"/>
  <c r="M68" i="1"/>
  <c r="L68" i="1"/>
  <c r="G68" i="1"/>
  <c r="D68" i="1"/>
  <c r="BK67" i="1"/>
  <c r="BJ67" i="1"/>
  <c r="BF67" i="1"/>
  <c r="BE67" i="1"/>
  <c r="BA67" i="1"/>
  <c r="AZ67" i="1"/>
  <c r="AV67" i="1"/>
  <c r="AU67" i="1"/>
  <c r="AQ67" i="1"/>
  <c r="AP67" i="1"/>
  <c r="AL67" i="1"/>
  <c r="AK67" i="1"/>
  <c r="AG67" i="1"/>
  <c r="AF67" i="1"/>
  <c r="CQ67" i="1" s="1"/>
  <c r="AE67" i="1"/>
  <c r="AB67" i="1"/>
  <c r="AA67" i="1"/>
  <c r="W67" i="1"/>
  <c r="V67" i="1"/>
  <c r="R67" i="1"/>
  <c r="Q67" i="1"/>
  <c r="M67" i="1"/>
  <c r="L67" i="1"/>
  <c r="G67" i="1"/>
  <c r="D67" i="1"/>
  <c r="BK66" i="1"/>
  <c r="BJ66" i="1"/>
  <c r="BF66" i="1"/>
  <c r="BE66" i="1"/>
  <c r="BA66" i="1"/>
  <c r="AZ66" i="1"/>
  <c r="AV66" i="1"/>
  <c r="AU66" i="1"/>
  <c r="AQ66" i="1"/>
  <c r="AP66" i="1"/>
  <c r="AL66" i="1"/>
  <c r="AK66" i="1"/>
  <c r="AG66" i="1"/>
  <c r="AF66" i="1"/>
  <c r="CQ66" i="1" s="1"/>
  <c r="AE66" i="1"/>
  <c r="AB66" i="1"/>
  <c r="AA66" i="1"/>
  <c r="W66" i="1"/>
  <c r="V66" i="1"/>
  <c r="R66" i="1"/>
  <c r="Q66" i="1"/>
  <c r="M66" i="1"/>
  <c r="L66" i="1"/>
  <c r="G66" i="1"/>
  <c r="D66" i="1"/>
  <c r="BK65" i="1"/>
  <c r="BJ65" i="1"/>
  <c r="BF65" i="1"/>
  <c r="BE65" i="1"/>
  <c r="BA65" i="1"/>
  <c r="AZ65" i="1"/>
  <c r="AV65" i="1"/>
  <c r="AU65" i="1"/>
  <c r="AQ65" i="1"/>
  <c r="AP65" i="1"/>
  <c r="AL65" i="1"/>
  <c r="AK65" i="1"/>
  <c r="AG65" i="1"/>
  <c r="AF65" i="1"/>
  <c r="CQ65" i="1" s="1"/>
  <c r="AE65" i="1"/>
  <c r="AB65" i="1"/>
  <c r="AA65" i="1"/>
  <c r="W65" i="1"/>
  <c r="V65" i="1"/>
  <c r="R65" i="1"/>
  <c r="Q65" i="1"/>
  <c r="M65" i="1"/>
  <c r="L65" i="1"/>
  <c r="G65" i="1"/>
  <c r="D65" i="1"/>
  <c r="BK64" i="1"/>
  <c r="BJ64" i="1"/>
  <c r="BF64" i="1"/>
  <c r="BE64" i="1"/>
  <c r="BA64" i="1"/>
  <c r="AZ64" i="1"/>
  <c r="AV64" i="1"/>
  <c r="AU64" i="1"/>
  <c r="AQ64" i="1"/>
  <c r="AP64" i="1"/>
  <c r="AL64" i="1"/>
  <c r="AK64" i="1"/>
  <c r="AG64" i="1"/>
  <c r="AF64" i="1"/>
  <c r="CQ64" i="1" s="1"/>
  <c r="AE64" i="1"/>
  <c r="AB64" i="1"/>
  <c r="AA64" i="1"/>
  <c r="W64" i="1"/>
  <c r="V64" i="1"/>
  <c r="R64" i="1"/>
  <c r="Q64" i="1"/>
  <c r="M64" i="1"/>
  <c r="L64" i="1"/>
  <c r="G64" i="1"/>
  <c r="D64" i="1"/>
  <c r="BK63" i="1"/>
  <c r="BJ63" i="1"/>
  <c r="BF63" i="1"/>
  <c r="BE63" i="1"/>
  <c r="BA63" i="1"/>
  <c r="AZ63" i="1"/>
  <c r="AV63" i="1"/>
  <c r="AU63" i="1"/>
  <c r="AQ63" i="1"/>
  <c r="AP63" i="1"/>
  <c r="AL63" i="1"/>
  <c r="AK63" i="1"/>
  <c r="AG63" i="1"/>
  <c r="AF63" i="1"/>
  <c r="AE63" i="1"/>
  <c r="AB63" i="1"/>
  <c r="AA63" i="1"/>
  <c r="W63" i="1"/>
  <c r="V63" i="1"/>
  <c r="R63" i="1"/>
  <c r="Q63" i="1"/>
  <c r="M63" i="1"/>
  <c r="L63" i="1"/>
  <c r="G63" i="1"/>
  <c r="D63" i="1"/>
  <c r="BK62" i="1"/>
  <c r="BJ62" i="1"/>
  <c r="BF62" i="1"/>
  <c r="BE62" i="1"/>
  <c r="BA62" i="1"/>
  <c r="AZ62" i="1"/>
  <c r="AV62" i="1"/>
  <c r="AU62" i="1"/>
  <c r="AQ62" i="1"/>
  <c r="AP62" i="1"/>
  <c r="AL62" i="1"/>
  <c r="AK62" i="1"/>
  <c r="AG62" i="1"/>
  <c r="AF62" i="1"/>
  <c r="AE62" i="1"/>
  <c r="AB62" i="1"/>
  <c r="AA62" i="1"/>
  <c r="W62" i="1"/>
  <c r="V62" i="1"/>
  <c r="R62" i="1"/>
  <c r="Q62" i="1"/>
  <c r="M62" i="1"/>
  <c r="L62" i="1"/>
  <c r="G62" i="1"/>
  <c r="D62" i="1"/>
  <c r="BK61" i="1"/>
  <c r="BJ61" i="1"/>
  <c r="BF61" i="1"/>
  <c r="BE61" i="1"/>
  <c r="BA61" i="1"/>
  <c r="AZ61" i="1"/>
  <c r="AV61" i="1"/>
  <c r="AU61" i="1"/>
  <c r="AQ61" i="1"/>
  <c r="AP61" i="1"/>
  <c r="AL61" i="1"/>
  <c r="AK61" i="1"/>
  <c r="AG61" i="1"/>
  <c r="AF61" i="1"/>
  <c r="AE61" i="1"/>
  <c r="AB61" i="1"/>
  <c r="AA61" i="1"/>
  <c r="W61" i="1"/>
  <c r="V61" i="1"/>
  <c r="R61" i="1"/>
  <c r="Q61" i="1"/>
  <c r="M61" i="1"/>
  <c r="L61" i="1"/>
  <c r="G61" i="1"/>
  <c r="D61" i="1"/>
  <c r="BK60" i="1"/>
  <c r="BJ60" i="1"/>
  <c r="BF60" i="1"/>
  <c r="BE60" i="1"/>
  <c r="BA60" i="1"/>
  <c r="AZ60" i="1"/>
  <c r="AV60" i="1"/>
  <c r="AU60" i="1"/>
  <c r="AQ60" i="1"/>
  <c r="AP60" i="1"/>
  <c r="AL60" i="1"/>
  <c r="AK60" i="1"/>
  <c r="AG60" i="1"/>
  <c r="AF60" i="1"/>
  <c r="CQ60" i="1" s="1"/>
  <c r="AE60" i="1"/>
  <c r="AB60" i="1"/>
  <c r="AA60" i="1"/>
  <c r="W60" i="1"/>
  <c r="V60" i="1"/>
  <c r="R60" i="1"/>
  <c r="Q60" i="1"/>
  <c r="M60" i="1"/>
  <c r="L60" i="1"/>
  <c r="G60" i="1"/>
  <c r="D60" i="1"/>
  <c r="BK59" i="1"/>
  <c r="BJ59" i="1"/>
  <c r="BF59" i="1"/>
  <c r="BE59" i="1"/>
  <c r="BA59" i="1"/>
  <c r="AZ59" i="1"/>
  <c r="AV59" i="1"/>
  <c r="AU59" i="1"/>
  <c r="AQ59" i="1"/>
  <c r="AP59" i="1"/>
  <c r="AL59" i="1"/>
  <c r="AK59" i="1"/>
  <c r="AG59" i="1"/>
  <c r="AF59" i="1"/>
  <c r="CQ59" i="1" s="1"/>
  <c r="AE59" i="1"/>
  <c r="AB59" i="1"/>
  <c r="AA59" i="1"/>
  <c r="W59" i="1"/>
  <c r="V59" i="1"/>
  <c r="R59" i="1"/>
  <c r="Q59" i="1"/>
  <c r="M59" i="1"/>
  <c r="L59" i="1"/>
  <c r="G59" i="1"/>
  <c r="D59" i="1"/>
  <c r="BK58" i="1"/>
  <c r="BJ58" i="1"/>
  <c r="BF58" i="1"/>
  <c r="BE58" i="1"/>
  <c r="BA58" i="1"/>
  <c r="AZ58" i="1"/>
  <c r="AV58" i="1"/>
  <c r="AU58" i="1"/>
  <c r="AQ58" i="1"/>
  <c r="AP58" i="1"/>
  <c r="AL58" i="1"/>
  <c r="AK58" i="1"/>
  <c r="AG58" i="1"/>
  <c r="AF58" i="1"/>
  <c r="AE58" i="1"/>
  <c r="AB58" i="1"/>
  <c r="AA58" i="1"/>
  <c r="W58" i="1"/>
  <c r="V58" i="1"/>
  <c r="R58" i="1"/>
  <c r="Q58" i="1"/>
  <c r="M58" i="1"/>
  <c r="L58" i="1"/>
  <c r="G58" i="1"/>
  <c r="D58" i="1"/>
  <c r="BK57" i="1"/>
  <c r="BJ57" i="1"/>
  <c r="BF57" i="1"/>
  <c r="BE57" i="1"/>
  <c r="BA57" i="1"/>
  <c r="AZ57" i="1"/>
  <c r="AV57" i="1"/>
  <c r="AU57" i="1"/>
  <c r="AQ57" i="1"/>
  <c r="AP57" i="1"/>
  <c r="AL57" i="1"/>
  <c r="AK57" i="1"/>
  <c r="AG57" i="1"/>
  <c r="AF57" i="1"/>
  <c r="AE57" i="1"/>
  <c r="AB57" i="1"/>
  <c r="AA57" i="1"/>
  <c r="W57" i="1"/>
  <c r="V57" i="1"/>
  <c r="R57" i="1"/>
  <c r="Q57" i="1"/>
  <c r="M57" i="1"/>
  <c r="L57" i="1"/>
  <c r="G57" i="1"/>
  <c r="D57" i="1"/>
  <c r="BK56" i="1"/>
  <c r="BJ56" i="1"/>
  <c r="BF56" i="1"/>
  <c r="BE56" i="1"/>
  <c r="BA56" i="1"/>
  <c r="AZ56" i="1"/>
  <c r="AV56" i="1"/>
  <c r="AU56" i="1"/>
  <c r="AQ56" i="1"/>
  <c r="AP56" i="1"/>
  <c r="AL56" i="1"/>
  <c r="AK56" i="1"/>
  <c r="AG56" i="1"/>
  <c r="AF56" i="1"/>
  <c r="CQ56" i="1" s="1"/>
  <c r="AE56" i="1"/>
  <c r="AB56" i="1"/>
  <c r="AA56" i="1"/>
  <c r="W56" i="1"/>
  <c r="V56" i="1"/>
  <c r="R56" i="1"/>
  <c r="Q56" i="1"/>
  <c r="M56" i="1"/>
  <c r="L56" i="1"/>
  <c r="G56" i="1"/>
  <c r="D56" i="1"/>
  <c r="BK55" i="1"/>
  <c r="BJ55" i="1"/>
  <c r="BF55" i="1"/>
  <c r="BE55" i="1"/>
  <c r="BA55" i="1"/>
  <c r="AZ55" i="1"/>
  <c r="AV55" i="1"/>
  <c r="AU55" i="1"/>
  <c r="AQ55" i="1"/>
  <c r="AP55" i="1"/>
  <c r="AL55" i="1"/>
  <c r="AK55" i="1"/>
  <c r="AG55" i="1"/>
  <c r="AF55" i="1"/>
  <c r="AE55" i="1"/>
  <c r="AB55" i="1"/>
  <c r="AA55" i="1"/>
  <c r="W55" i="1"/>
  <c r="V55" i="1"/>
  <c r="R55" i="1"/>
  <c r="Q55" i="1"/>
  <c r="M55" i="1"/>
  <c r="L55" i="1"/>
  <c r="G55" i="1"/>
  <c r="D55" i="1"/>
  <c r="BK54" i="1"/>
  <c r="BJ54" i="1"/>
  <c r="BF54" i="1"/>
  <c r="BE54" i="1"/>
  <c r="BA54" i="1"/>
  <c r="AZ54" i="1"/>
  <c r="AV54" i="1"/>
  <c r="AU54" i="1"/>
  <c r="AQ54" i="1"/>
  <c r="AP54" i="1"/>
  <c r="AL54" i="1"/>
  <c r="AK54" i="1"/>
  <c r="AG54" i="1"/>
  <c r="AF54" i="1"/>
  <c r="AE54" i="1"/>
  <c r="AB54" i="1"/>
  <c r="AA54" i="1"/>
  <c r="W54" i="1"/>
  <c r="V54" i="1"/>
  <c r="R54" i="1"/>
  <c r="Q54" i="1"/>
  <c r="M54" i="1"/>
  <c r="L54" i="1"/>
  <c r="G54" i="1"/>
  <c r="D54" i="1"/>
  <c r="BK53" i="1"/>
  <c r="BJ53" i="1"/>
  <c r="BF53" i="1"/>
  <c r="BE53" i="1"/>
  <c r="BA53" i="1"/>
  <c r="AZ53" i="1"/>
  <c r="AV53" i="1"/>
  <c r="AU53" i="1"/>
  <c r="AQ53" i="1"/>
  <c r="AP53" i="1"/>
  <c r="AL53" i="1"/>
  <c r="AK53" i="1"/>
  <c r="AG53" i="1"/>
  <c r="AF53" i="1"/>
  <c r="CQ53" i="1" s="1"/>
  <c r="AE53" i="1"/>
  <c r="AB53" i="1"/>
  <c r="AA53" i="1"/>
  <c r="W53" i="1"/>
  <c r="V53" i="1"/>
  <c r="R53" i="1"/>
  <c r="Q53" i="1"/>
  <c r="M53" i="1"/>
  <c r="L53" i="1"/>
  <c r="G53" i="1"/>
  <c r="D53" i="1"/>
  <c r="BK52" i="1"/>
  <c r="BJ52" i="1"/>
  <c r="BF52" i="1"/>
  <c r="BE52" i="1"/>
  <c r="BA52" i="1"/>
  <c r="AZ52" i="1"/>
  <c r="AV52" i="1"/>
  <c r="AU52" i="1"/>
  <c r="AQ52" i="1"/>
  <c r="AP52" i="1"/>
  <c r="AL52" i="1"/>
  <c r="AK52" i="1"/>
  <c r="AE52" i="1"/>
  <c r="AB52" i="1"/>
  <c r="AA52" i="1"/>
  <c r="W52" i="1"/>
  <c r="V52" i="1"/>
  <c r="R52" i="1"/>
  <c r="Q52" i="1"/>
  <c r="M52" i="1"/>
  <c r="L52" i="1"/>
  <c r="G52" i="1"/>
  <c r="D52" i="1"/>
  <c r="BF50" i="1"/>
  <c r="BE50" i="1"/>
  <c r="BA50" i="1"/>
  <c r="AZ50" i="1"/>
  <c r="AV50" i="1"/>
  <c r="AU50" i="1"/>
  <c r="AQ50" i="1"/>
  <c r="AP50" i="1"/>
  <c r="AL50" i="1"/>
  <c r="AK50" i="1"/>
  <c r="AG50" i="1"/>
  <c r="AF50" i="1"/>
  <c r="AB50" i="1"/>
  <c r="AA50" i="1"/>
  <c r="W50" i="1"/>
  <c r="V50" i="1"/>
  <c r="R50" i="1"/>
  <c r="Q50" i="1"/>
  <c r="M50" i="1"/>
  <c r="L50" i="1"/>
  <c r="G50" i="1"/>
  <c r="D50" i="1"/>
  <c r="BK49" i="1"/>
  <c r="BJ49" i="1"/>
  <c r="BF49" i="1"/>
  <c r="BE49" i="1"/>
  <c r="BA49" i="1"/>
  <c r="AZ49" i="1"/>
  <c r="AV49" i="1"/>
  <c r="AU49" i="1"/>
  <c r="AQ49" i="1"/>
  <c r="AP49" i="1"/>
  <c r="AL49" i="1"/>
  <c r="AK49" i="1"/>
  <c r="AG49" i="1"/>
  <c r="AF49" i="1"/>
  <c r="AB49" i="1"/>
  <c r="AA49" i="1"/>
  <c r="W49" i="1"/>
  <c r="V49" i="1"/>
  <c r="R49" i="1"/>
  <c r="Q49" i="1"/>
  <c r="M49" i="1"/>
  <c r="L49" i="1"/>
  <c r="G49" i="1"/>
  <c r="D49" i="1"/>
  <c r="BF48" i="1"/>
  <c r="BE48" i="1"/>
  <c r="BA48" i="1"/>
  <c r="AZ48" i="1"/>
  <c r="AV48" i="1"/>
  <c r="AU48" i="1"/>
  <c r="AQ48" i="1"/>
  <c r="AP48" i="1"/>
  <c r="AL48" i="1"/>
  <c r="AK48" i="1"/>
  <c r="AG48" i="1"/>
  <c r="AF48" i="1"/>
  <c r="AB48" i="1"/>
  <c r="AA48" i="1"/>
  <c r="W48" i="1"/>
  <c r="V48" i="1"/>
  <c r="R48" i="1"/>
  <c r="Q48" i="1"/>
  <c r="M48" i="1"/>
  <c r="L48" i="1"/>
  <c r="G48" i="1"/>
  <c r="D48" i="1"/>
  <c r="BK47" i="1"/>
  <c r="BJ47" i="1"/>
  <c r="BF47" i="1"/>
  <c r="BE47" i="1"/>
  <c r="BA47" i="1"/>
  <c r="AZ47" i="1"/>
  <c r="AV47" i="1"/>
  <c r="AU47" i="1"/>
  <c r="AQ47" i="1"/>
  <c r="AP47" i="1"/>
  <c r="AL47" i="1"/>
  <c r="AK47" i="1"/>
  <c r="AG47" i="1"/>
  <c r="AF47" i="1"/>
  <c r="AB47" i="1"/>
  <c r="AA47" i="1"/>
  <c r="W47" i="1"/>
  <c r="V47" i="1"/>
  <c r="R47" i="1"/>
  <c r="Q47" i="1"/>
  <c r="M47" i="1"/>
  <c r="L47" i="1"/>
  <c r="G47" i="1"/>
  <c r="D47" i="1"/>
  <c r="BK45" i="1"/>
  <c r="BJ45" i="1"/>
  <c r="BF45" i="1"/>
  <c r="BE45" i="1"/>
  <c r="BA45" i="1"/>
  <c r="AZ45" i="1"/>
  <c r="AV45" i="1"/>
  <c r="AU45" i="1"/>
  <c r="AQ45" i="1"/>
  <c r="AP45" i="1"/>
  <c r="AL45" i="1"/>
  <c r="AK45" i="1"/>
  <c r="AG45" i="1"/>
  <c r="AF45" i="1"/>
  <c r="AB45" i="1"/>
  <c r="AA45" i="1"/>
  <c r="W45" i="1"/>
  <c r="V45" i="1"/>
  <c r="R45" i="1"/>
  <c r="Q45" i="1"/>
  <c r="M45" i="1"/>
  <c r="L45" i="1"/>
  <c r="G45" i="1"/>
  <c r="F45" i="1"/>
  <c r="D45" i="1"/>
  <c r="BZ45" i="1" s="1"/>
  <c r="BK44" i="1"/>
  <c r="BJ44" i="1"/>
  <c r="BF44" i="1"/>
  <c r="BE44" i="1"/>
  <c r="BA44" i="1"/>
  <c r="AZ44" i="1"/>
  <c r="AV44" i="1"/>
  <c r="AU44" i="1"/>
  <c r="AQ44" i="1"/>
  <c r="AP44" i="1"/>
  <c r="AL44" i="1"/>
  <c r="AK44" i="1"/>
  <c r="AG44" i="1"/>
  <c r="AF44" i="1"/>
  <c r="AB44" i="1"/>
  <c r="AA44" i="1"/>
  <c r="W44" i="1"/>
  <c r="V44" i="1"/>
  <c r="R44" i="1"/>
  <c r="Q44" i="1"/>
  <c r="M44" i="1"/>
  <c r="L44" i="1"/>
  <c r="G44" i="1"/>
  <c r="F44" i="1"/>
  <c r="D44" i="1"/>
  <c r="BK43" i="1"/>
  <c r="BJ43" i="1"/>
  <c r="BF43" i="1"/>
  <c r="BE43" i="1"/>
  <c r="BA43" i="1"/>
  <c r="AZ43" i="1"/>
  <c r="AV43" i="1"/>
  <c r="AU43" i="1"/>
  <c r="AQ43" i="1"/>
  <c r="AP43" i="1"/>
  <c r="AL43" i="1"/>
  <c r="AK43" i="1"/>
  <c r="AG43" i="1"/>
  <c r="AF43" i="1"/>
  <c r="AB43" i="1"/>
  <c r="AA43" i="1"/>
  <c r="W43" i="1"/>
  <c r="V43" i="1"/>
  <c r="R43" i="1"/>
  <c r="Q43" i="1"/>
  <c r="M43" i="1"/>
  <c r="L43" i="1"/>
  <c r="G43" i="1"/>
  <c r="F43" i="1"/>
  <c r="D43" i="1"/>
  <c r="BK42" i="1"/>
  <c r="BJ42" i="1"/>
  <c r="BF42" i="1"/>
  <c r="BE42" i="1"/>
  <c r="BA42" i="1"/>
  <c r="AZ42" i="1"/>
  <c r="AV42" i="1"/>
  <c r="AU42" i="1"/>
  <c r="AQ42" i="1"/>
  <c r="AP42" i="1"/>
  <c r="AL42" i="1"/>
  <c r="AK42" i="1"/>
  <c r="AG42" i="1"/>
  <c r="AF42" i="1"/>
  <c r="AB42" i="1"/>
  <c r="AA42" i="1"/>
  <c r="W42" i="1"/>
  <c r="V42" i="1"/>
  <c r="R42" i="1"/>
  <c r="Q42" i="1"/>
  <c r="M42" i="1"/>
  <c r="L42" i="1"/>
  <c r="G42" i="1"/>
  <c r="F42" i="1"/>
  <c r="D42" i="1"/>
  <c r="BK41" i="1"/>
  <c r="BJ41" i="1"/>
  <c r="BF41" i="1"/>
  <c r="BE41" i="1"/>
  <c r="BA41" i="1"/>
  <c r="AZ41" i="1"/>
  <c r="AV41" i="1"/>
  <c r="AU41" i="1"/>
  <c r="AQ41" i="1"/>
  <c r="AP41" i="1"/>
  <c r="AL41" i="1"/>
  <c r="AK41" i="1"/>
  <c r="AG41" i="1"/>
  <c r="AF41" i="1"/>
  <c r="AB41" i="1"/>
  <c r="AA41" i="1"/>
  <c r="W41" i="1"/>
  <c r="V41" i="1"/>
  <c r="R41" i="1"/>
  <c r="Q41" i="1"/>
  <c r="M41" i="1"/>
  <c r="L41" i="1"/>
  <c r="G41" i="1"/>
  <c r="F41" i="1"/>
  <c r="D41" i="1"/>
  <c r="BK40" i="1"/>
  <c r="BJ40" i="1"/>
  <c r="BF40" i="1"/>
  <c r="BE40" i="1"/>
  <c r="BA40" i="1"/>
  <c r="AZ40" i="1"/>
  <c r="AV40" i="1"/>
  <c r="AU40" i="1"/>
  <c r="AQ40" i="1"/>
  <c r="AP40" i="1"/>
  <c r="AL40" i="1"/>
  <c r="AK40" i="1"/>
  <c r="AG40" i="1"/>
  <c r="AF40" i="1"/>
  <c r="AB40" i="1"/>
  <c r="AA40" i="1"/>
  <c r="W40" i="1"/>
  <c r="V40" i="1"/>
  <c r="R40" i="1"/>
  <c r="Q40" i="1"/>
  <c r="M40" i="1"/>
  <c r="L40" i="1"/>
  <c r="G40" i="1"/>
  <c r="F40" i="1"/>
  <c r="D40" i="1"/>
  <c r="BK39" i="1"/>
  <c r="BJ39" i="1"/>
  <c r="BF39" i="1"/>
  <c r="BE39" i="1"/>
  <c r="BA39" i="1"/>
  <c r="AZ39" i="1"/>
  <c r="AV39" i="1"/>
  <c r="AU39" i="1"/>
  <c r="AQ39" i="1"/>
  <c r="AP39" i="1"/>
  <c r="AL39" i="1"/>
  <c r="AK39" i="1"/>
  <c r="AG39" i="1"/>
  <c r="AF39" i="1"/>
  <c r="AB39" i="1"/>
  <c r="AA39" i="1"/>
  <c r="W39" i="1"/>
  <c r="V39" i="1"/>
  <c r="R39" i="1"/>
  <c r="Q39" i="1"/>
  <c r="M39" i="1"/>
  <c r="L39" i="1"/>
  <c r="G39" i="1"/>
  <c r="F39" i="1"/>
  <c r="D39" i="1"/>
  <c r="BK38" i="1"/>
  <c r="BJ38" i="1"/>
  <c r="BF38" i="1"/>
  <c r="BE38" i="1"/>
  <c r="BA38" i="1"/>
  <c r="AZ38" i="1"/>
  <c r="AV38" i="1"/>
  <c r="AU38" i="1"/>
  <c r="AQ38" i="1"/>
  <c r="AP38" i="1"/>
  <c r="AL38" i="1"/>
  <c r="AK38" i="1"/>
  <c r="AG38" i="1"/>
  <c r="AF38" i="1"/>
  <c r="AB38" i="1"/>
  <c r="AA38" i="1"/>
  <c r="W38" i="1"/>
  <c r="V38" i="1"/>
  <c r="R38" i="1"/>
  <c r="Q38" i="1"/>
  <c r="M38" i="1"/>
  <c r="L38" i="1"/>
  <c r="G38" i="1"/>
  <c r="F38" i="1"/>
  <c r="D38" i="1"/>
  <c r="BK37" i="1"/>
  <c r="BJ37" i="1"/>
  <c r="BF37" i="1"/>
  <c r="BE37" i="1"/>
  <c r="BA37" i="1"/>
  <c r="AZ37" i="1"/>
  <c r="AV37" i="1"/>
  <c r="AU37" i="1"/>
  <c r="AQ37" i="1"/>
  <c r="AP37" i="1"/>
  <c r="AL37" i="1"/>
  <c r="AK37" i="1"/>
  <c r="AG37" i="1"/>
  <c r="AF37" i="1"/>
  <c r="AB37" i="1"/>
  <c r="AA37" i="1"/>
  <c r="W37" i="1"/>
  <c r="V37" i="1"/>
  <c r="R37" i="1"/>
  <c r="Q37" i="1"/>
  <c r="M37" i="1"/>
  <c r="L37" i="1"/>
  <c r="G37" i="1"/>
  <c r="F37" i="1"/>
  <c r="D37" i="1"/>
  <c r="BK36" i="1"/>
  <c r="BJ36" i="1"/>
  <c r="BF36" i="1"/>
  <c r="BE36" i="1"/>
  <c r="BA36" i="1"/>
  <c r="AZ36" i="1"/>
  <c r="AV36" i="1"/>
  <c r="AU36" i="1"/>
  <c r="AQ36" i="1"/>
  <c r="AP36" i="1"/>
  <c r="AL36" i="1"/>
  <c r="AK36" i="1"/>
  <c r="AG36" i="1"/>
  <c r="AF36" i="1"/>
  <c r="AB36" i="1"/>
  <c r="AA36" i="1"/>
  <c r="W36" i="1"/>
  <c r="V36" i="1"/>
  <c r="R36" i="1"/>
  <c r="Q36" i="1"/>
  <c r="M36" i="1"/>
  <c r="L36" i="1"/>
  <c r="G36" i="1"/>
  <c r="F36" i="1"/>
  <c r="D36" i="1"/>
  <c r="BK35" i="1"/>
  <c r="BJ35" i="1"/>
  <c r="BF35" i="1"/>
  <c r="BE35" i="1"/>
  <c r="BA35" i="1"/>
  <c r="AZ35" i="1"/>
  <c r="AV35" i="1"/>
  <c r="AU35" i="1"/>
  <c r="AQ35" i="1"/>
  <c r="AP35" i="1"/>
  <c r="AL35" i="1"/>
  <c r="AK35" i="1"/>
  <c r="AG35" i="1"/>
  <c r="AF35" i="1"/>
  <c r="AB35" i="1"/>
  <c r="AA35" i="1"/>
  <c r="W35" i="1"/>
  <c r="V35" i="1"/>
  <c r="R35" i="1"/>
  <c r="Q35" i="1"/>
  <c r="M35" i="1"/>
  <c r="L35" i="1"/>
  <c r="G35" i="1"/>
  <c r="F35" i="1"/>
  <c r="D35" i="1"/>
  <c r="BK34" i="1"/>
  <c r="BJ34" i="1"/>
  <c r="BF34" i="1"/>
  <c r="BE34" i="1"/>
  <c r="BA34" i="1"/>
  <c r="AZ34" i="1"/>
  <c r="AV34" i="1"/>
  <c r="AU34" i="1"/>
  <c r="AQ34" i="1"/>
  <c r="AP34" i="1"/>
  <c r="AL34" i="1"/>
  <c r="AK34" i="1"/>
  <c r="AG34" i="1"/>
  <c r="AF34" i="1"/>
  <c r="AB34" i="1"/>
  <c r="AA34" i="1"/>
  <c r="W34" i="1"/>
  <c r="V34" i="1"/>
  <c r="R34" i="1"/>
  <c r="Q34" i="1"/>
  <c r="M34" i="1"/>
  <c r="L34" i="1"/>
  <c r="G34" i="1"/>
  <c r="F34" i="1"/>
  <c r="D34" i="1"/>
  <c r="BK33" i="1"/>
  <c r="BJ33" i="1"/>
  <c r="BF33" i="1"/>
  <c r="BE33" i="1"/>
  <c r="BA33" i="1"/>
  <c r="AZ33" i="1"/>
  <c r="AV33" i="1"/>
  <c r="AU33" i="1"/>
  <c r="AQ33" i="1"/>
  <c r="AP33" i="1"/>
  <c r="AL33" i="1"/>
  <c r="AK33" i="1"/>
  <c r="AG33" i="1"/>
  <c r="AF33" i="1"/>
  <c r="AB33" i="1"/>
  <c r="AA33" i="1"/>
  <c r="W33" i="1"/>
  <c r="V33" i="1"/>
  <c r="R33" i="1"/>
  <c r="Q33" i="1"/>
  <c r="M33" i="1"/>
  <c r="L33" i="1"/>
  <c r="G33" i="1"/>
  <c r="F33" i="1"/>
  <c r="D33" i="1"/>
  <c r="BK32" i="1"/>
  <c r="BJ32" i="1"/>
  <c r="BF32" i="1"/>
  <c r="BE32" i="1"/>
  <c r="BA32" i="1"/>
  <c r="AZ32" i="1"/>
  <c r="AV32" i="1"/>
  <c r="AU32" i="1"/>
  <c r="AQ32" i="1"/>
  <c r="AP32" i="1"/>
  <c r="AL32" i="1"/>
  <c r="AK32" i="1"/>
  <c r="AG32" i="1"/>
  <c r="AF32" i="1"/>
  <c r="AB32" i="1"/>
  <c r="AA32" i="1"/>
  <c r="W32" i="1"/>
  <c r="V32" i="1"/>
  <c r="R32" i="1"/>
  <c r="Q32" i="1"/>
  <c r="M32" i="1"/>
  <c r="L32" i="1"/>
  <c r="G32" i="1"/>
  <c r="F32" i="1"/>
  <c r="D32" i="1"/>
  <c r="BK31" i="1"/>
  <c r="BJ31" i="1"/>
  <c r="BF31" i="1"/>
  <c r="BE31" i="1"/>
  <c r="BA31" i="1"/>
  <c r="AZ31" i="1"/>
  <c r="AV31" i="1"/>
  <c r="AU31" i="1"/>
  <c r="AQ31" i="1"/>
  <c r="AP31" i="1"/>
  <c r="AL31" i="1"/>
  <c r="AK31" i="1"/>
  <c r="AG31" i="1"/>
  <c r="AF31" i="1"/>
  <c r="AB31" i="1"/>
  <c r="AA31" i="1"/>
  <c r="W31" i="1"/>
  <c r="V31" i="1"/>
  <c r="R31" i="1"/>
  <c r="Q31" i="1"/>
  <c r="M31" i="1"/>
  <c r="L31" i="1"/>
  <c r="G31" i="1"/>
  <c r="F31" i="1"/>
  <c r="D31" i="1"/>
  <c r="BK30" i="1"/>
  <c r="BJ30" i="1"/>
  <c r="BF30" i="1"/>
  <c r="BE30" i="1"/>
  <c r="BA30" i="1"/>
  <c r="AZ30" i="1"/>
  <c r="AV30" i="1"/>
  <c r="AU30" i="1"/>
  <c r="AQ30" i="1"/>
  <c r="AP30" i="1"/>
  <c r="AL30" i="1"/>
  <c r="AK30" i="1"/>
  <c r="AG30" i="1"/>
  <c r="AF30" i="1"/>
  <c r="AB30" i="1"/>
  <c r="AA30" i="1"/>
  <c r="W30" i="1"/>
  <c r="V30" i="1"/>
  <c r="R30" i="1"/>
  <c r="Q30" i="1"/>
  <c r="M30" i="1"/>
  <c r="L30" i="1"/>
  <c r="G30" i="1"/>
  <c r="F30" i="1"/>
  <c r="D30" i="1"/>
  <c r="BK29" i="1"/>
  <c r="BJ29" i="1"/>
  <c r="BF29" i="1"/>
  <c r="BE29" i="1"/>
  <c r="BA29" i="1"/>
  <c r="AZ29" i="1"/>
  <c r="AV29" i="1"/>
  <c r="AU29" i="1"/>
  <c r="AQ29" i="1"/>
  <c r="AP29" i="1"/>
  <c r="AL29" i="1"/>
  <c r="AK29" i="1"/>
  <c r="AG29" i="1"/>
  <c r="AF29" i="1"/>
  <c r="AB29" i="1"/>
  <c r="AA29" i="1"/>
  <c r="W29" i="1"/>
  <c r="V29" i="1"/>
  <c r="R29" i="1"/>
  <c r="Q29" i="1"/>
  <c r="M29" i="1"/>
  <c r="L29" i="1"/>
  <c r="G29" i="1"/>
  <c r="F29" i="1"/>
  <c r="D29" i="1"/>
  <c r="BK28" i="1"/>
  <c r="BJ28" i="1"/>
  <c r="BF28" i="1"/>
  <c r="BE28" i="1"/>
  <c r="BA28" i="1"/>
  <c r="AZ28" i="1"/>
  <c r="AV28" i="1"/>
  <c r="AU28" i="1"/>
  <c r="AQ28" i="1"/>
  <c r="AP28" i="1"/>
  <c r="AL28" i="1"/>
  <c r="AK28" i="1"/>
  <c r="AG28" i="1"/>
  <c r="AF28" i="1"/>
  <c r="AB28" i="1"/>
  <c r="AA28" i="1"/>
  <c r="W28" i="1"/>
  <c r="V28" i="1"/>
  <c r="R28" i="1"/>
  <c r="Q28" i="1"/>
  <c r="M28" i="1"/>
  <c r="L28" i="1"/>
  <c r="G28" i="1"/>
  <c r="F28" i="1"/>
  <c r="D28" i="1"/>
  <c r="BK27" i="1"/>
  <c r="BJ27" i="1"/>
  <c r="BF27" i="1"/>
  <c r="BE27" i="1"/>
  <c r="BA27" i="1"/>
  <c r="AZ27" i="1"/>
  <c r="AV27" i="1"/>
  <c r="AU27" i="1"/>
  <c r="AQ27" i="1"/>
  <c r="AP27" i="1"/>
  <c r="AL27" i="1"/>
  <c r="AK27" i="1"/>
  <c r="AG27" i="1"/>
  <c r="AF27" i="1"/>
  <c r="AB27" i="1"/>
  <c r="AA27" i="1"/>
  <c r="W27" i="1"/>
  <c r="V27" i="1"/>
  <c r="R27" i="1"/>
  <c r="Q27" i="1"/>
  <c r="M27" i="1"/>
  <c r="L27" i="1"/>
  <c r="G27" i="1"/>
  <c r="F27" i="1"/>
  <c r="D27" i="1"/>
  <c r="BK26" i="1"/>
  <c r="BJ26" i="1"/>
  <c r="BF26" i="1"/>
  <c r="BE26" i="1"/>
  <c r="BA26" i="1"/>
  <c r="AZ26" i="1"/>
  <c r="AV26" i="1"/>
  <c r="AU26" i="1"/>
  <c r="AQ26" i="1"/>
  <c r="AP26" i="1"/>
  <c r="AL26" i="1"/>
  <c r="AK26" i="1"/>
  <c r="AG26" i="1"/>
  <c r="AF26" i="1"/>
  <c r="AB26" i="1"/>
  <c r="AA26" i="1"/>
  <c r="W26" i="1"/>
  <c r="V26" i="1"/>
  <c r="R26" i="1"/>
  <c r="Q26" i="1"/>
  <c r="M26" i="1"/>
  <c r="L26" i="1"/>
  <c r="G26" i="1"/>
  <c r="F26" i="1"/>
  <c r="D26" i="1"/>
  <c r="BK25" i="1"/>
  <c r="BJ25" i="1"/>
  <c r="BF25" i="1"/>
  <c r="BE25" i="1"/>
  <c r="BA25" i="1"/>
  <c r="AZ25" i="1"/>
  <c r="AV25" i="1"/>
  <c r="AU25" i="1"/>
  <c r="AQ25" i="1"/>
  <c r="AP25" i="1"/>
  <c r="AL25" i="1"/>
  <c r="AK25" i="1"/>
  <c r="AG25" i="1"/>
  <c r="AF25" i="1"/>
  <c r="AB25" i="1"/>
  <c r="AA25" i="1"/>
  <c r="W25" i="1"/>
  <c r="V25" i="1"/>
  <c r="R25" i="1"/>
  <c r="Q25" i="1"/>
  <c r="M25" i="1"/>
  <c r="L25" i="1"/>
  <c r="G25" i="1"/>
  <c r="F25" i="1"/>
  <c r="BK24" i="1"/>
  <c r="BJ24" i="1"/>
  <c r="BF24" i="1"/>
  <c r="BE24" i="1"/>
  <c r="BA24" i="1"/>
  <c r="AZ24" i="1"/>
  <c r="AV24" i="1"/>
  <c r="AU24" i="1"/>
  <c r="AQ24" i="1"/>
  <c r="AP24" i="1"/>
  <c r="AL24" i="1"/>
  <c r="AK24" i="1"/>
  <c r="AG24" i="1"/>
  <c r="AF24" i="1"/>
  <c r="AB24" i="1"/>
  <c r="AA24" i="1"/>
  <c r="W24" i="1"/>
  <c r="V24" i="1"/>
  <c r="R24" i="1"/>
  <c r="Q24" i="1"/>
  <c r="M24" i="1"/>
  <c r="L24" i="1"/>
  <c r="G24" i="1"/>
  <c r="F24" i="1"/>
  <c r="D24" i="1"/>
  <c r="BK23" i="1"/>
  <c r="BJ23" i="1"/>
  <c r="BF23" i="1"/>
  <c r="BE23" i="1"/>
  <c r="BA23" i="1"/>
  <c r="AZ23" i="1"/>
  <c r="AV23" i="1"/>
  <c r="AU23" i="1"/>
  <c r="AQ23" i="1"/>
  <c r="AP23" i="1"/>
  <c r="AL23" i="1"/>
  <c r="AK23" i="1"/>
  <c r="AG23" i="1"/>
  <c r="AF23" i="1"/>
  <c r="AB23" i="1"/>
  <c r="AA23" i="1"/>
  <c r="W23" i="1"/>
  <c r="V23" i="1"/>
  <c r="R23" i="1"/>
  <c r="Q23" i="1"/>
  <c r="M23" i="1"/>
  <c r="L23" i="1"/>
  <c r="G23" i="1"/>
  <c r="F23" i="1"/>
  <c r="D23" i="1"/>
  <c r="BK22" i="1"/>
  <c r="BJ22" i="1"/>
  <c r="BF22" i="1"/>
  <c r="BE22" i="1"/>
  <c r="BA22" i="1"/>
  <c r="AZ22" i="1"/>
  <c r="AV22" i="1"/>
  <c r="AU22" i="1"/>
  <c r="AQ22" i="1"/>
  <c r="AP22" i="1"/>
  <c r="AL22" i="1"/>
  <c r="AK22" i="1"/>
  <c r="AG22" i="1"/>
  <c r="AF22" i="1"/>
  <c r="AB22" i="1"/>
  <c r="AA22" i="1"/>
  <c r="W22" i="1"/>
  <c r="V22" i="1"/>
  <c r="R22" i="1"/>
  <c r="Q22" i="1"/>
  <c r="M22" i="1"/>
  <c r="L22" i="1"/>
  <c r="G22" i="1"/>
  <c r="F22" i="1"/>
  <c r="D22" i="1"/>
  <c r="BK21" i="1"/>
  <c r="BJ21" i="1"/>
  <c r="BF21" i="1"/>
  <c r="BE21" i="1"/>
  <c r="BA21" i="1"/>
  <c r="AZ21" i="1"/>
  <c r="AV21" i="1"/>
  <c r="AU21" i="1"/>
  <c r="AQ21" i="1"/>
  <c r="AP21" i="1"/>
  <c r="AL21" i="1"/>
  <c r="AK21" i="1"/>
  <c r="AG21" i="1"/>
  <c r="AF21" i="1"/>
  <c r="AB21" i="1"/>
  <c r="AA21" i="1"/>
  <c r="W21" i="1"/>
  <c r="V21" i="1"/>
  <c r="R21" i="1"/>
  <c r="Q21" i="1"/>
  <c r="M21" i="1"/>
  <c r="L21" i="1"/>
  <c r="G21" i="1"/>
  <c r="F21" i="1"/>
  <c r="D21" i="1"/>
  <c r="BZ21" i="1" s="1"/>
  <c r="BK19" i="1"/>
  <c r="BJ19" i="1"/>
  <c r="BF19" i="1"/>
  <c r="BE19" i="1"/>
  <c r="BA19" i="1"/>
  <c r="AZ19" i="1"/>
  <c r="AV19" i="1"/>
  <c r="AU19" i="1"/>
  <c r="AQ19" i="1"/>
  <c r="AP19" i="1"/>
  <c r="AL19" i="1"/>
  <c r="AK19" i="1"/>
  <c r="AG19" i="1"/>
  <c r="AF19" i="1"/>
  <c r="AB19" i="1"/>
  <c r="AA19" i="1"/>
  <c r="W19" i="1"/>
  <c r="V19" i="1"/>
  <c r="R19" i="1"/>
  <c r="Q19" i="1"/>
  <c r="M19" i="1"/>
  <c r="L19" i="1"/>
  <c r="D19" i="1"/>
  <c r="CE19" i="1" s="1"/>
  <c r="BK16" i="1"/>
  <c r="BJ16" i="1"/>
  <c r="BF16" i="1"/>
  <c r="BE16" i="1"/>
  <c r="BA16" i="1"/>
  <c r="AZ16" i="1"/>
  <c r="AV16" i="1"/>
  <c r="AU16" i="1"/>
  <c r="AQ16" i="1"/>
  <c r="AP16" i="1"/>
  <c r="AL16" i="1"/>
  <c r="AK16" i="1"/>
  <c r="AG16" i="1"/>
  <c r="AF16" i="1"/>
  <c r="AB16" i="1"/>
  <c r="AA16" i="1"/>
  <c r="W16" i="1"/>
  <c r="V16" i="1"/>
  <c r="R16" i="1"/>
  <c r="Q16" i="1"/>
  <c r="M16" i="1"/>
  <c r="L16" i="1"/>
  <c r="G16" i="1"/>
  <c r="D16" i="1"/>
  <c r="BU16" i="1" s="1"/>
  <c r="BK15" i="1"/>
  <c r="BJ15" i="1"/>
  <c r="CQ15" i="1" s="1"/>
  <c r="D8" i="4" s="1"/>
  <c r="E8" i="4" s="1"/>
  <c r="BF15" i="1"/>
  <c r="BE15" i="1"/>
  <c r="BA15" i="1"/>
  <c r="AZ15" i="1"/>
  <c r="AV15" i="1"/>
  <c r="AU15" i="1"/>
  <c r="AQ15" i="1"/>
  <c r="AP15" i="1"/>
  <c r="AL15" i="1"/>
  <c r="AK15" i="1"/>
  <c r="AG15" i="1"/>
  <c r="AF15" i="1"/>
  <c r="AB15" i="1"/>
  <c r="AA15" i="1"/>
  <c r="W15" i="1"/>
  <c r="V15" i="1"/>
  <c r="R15" i="1"/>
  <c r="Q15" i="1"/>
  <c r="M15" i="1"/>
  <c r="L15" i="1"/>
  <c r="G15" i="1"/>
  <c r="D15" i="1"/>
  <c r="BU15" i="1" s="1"/>
  <c r="BF14" i="1"/>
  <c r="BE14" i="1"/>
  <c r="BA14" i="1"/>
  <c r="AZ14" i="1"/>
  <c r="AV14" i="1"/>
  <c r="AU14" i="1"/>
  <c r="AQ14" i="1"/>
  <c r="AP14" i="1"/>
  <c r="AL14" i="1"/>
  <c r="AK14" i="1"/>
  <c r="AG14" i="1"/>
  <c r="AF14" i="1"/>
  <c r="AB14" i="1"/>
  <c r="AA14" i="1"/>
  <c r="W14" i="1"/>
  <c r="V14" i="1"/>
  <c r="R14" i="1"/>
  <c r="Q14" i="1"/>
  <c r="M14" i="1"/>
  <c r="L14" i="1"/>
  <c r="G14" i="1"/>
  <c r="F14" i="1"/>
  <c r="D14" i="1"/>
  <c r="BU14" i="1" s="1"/>
  <c r="BK13" i="1"/>
  <c r="BJ13" i="1"/>
  <c r="CQ13" i="1" s="1"/>
  <c r="D6" i="4" s="1"/>
  <c r="E6" i="4" s="1"/>
  <c r="BF13" i="1"/>
  <c r="BE13" i="1"/>
  <c r="BA13" i="1"/>
  <c r="AZ13" i="1"/>
  <c r="AV13" i="1"/>
  <c r="AU13" i="1"/>
  <c r="AQ13" i="1"/>
  <c r="AP13" i="1"/>
  <c r="AL13" i="1"/>
  <c r="AK13" i="1"/>
  <c r="AG13" i="1"/>
  <c r="AF13" i="1"/>
  <c r="AB13" i="1"/>
  <c r="AA13" i="1"/>
  <c r="W13" i="1"/>
  <c r="V13" i="1"/>
  <c r="R13" i="1"/>
  <c r="Q13" i="1"/>
  <c r="M13" i="1"/>
  <c r="L13" i="1"/>
  <c r="G13" i="1"/>
  <c r="F13" i="1"/>
  <c r="D13" i="1"/>
  <c r="BU13" i="1" s="1"/>
  <c r="BK12" i="1"/>
  <c r="BJ12" i="1"/>
  <c r="CQ12" i="1" s="1"/>
  <c r="D5" i="4" s="1"/>
  <c r="E5" i="4" s="1"/>
  <c r="BF12" i="1"/>
  <c r="BE12" i="1"/>
  <c r="BA12" i="1"/>
  <c r="AZ12" i="1"/>
  <c r="AV12" i="1"/>
  <c r="AU12" i="1"/>
  <c r="AQ12" i="1"/>
  <c r="AP12" i="1"/>
  <c r="AL12" i="1"/>
  <c r="AK12" i="1"/>
  <c r="AG12" i="1"/>
  <c r="AF12" i="1"/>
  <c r="AB12" i="1"/>
  <c r="AA12" i="1"/>
  <c r="W12" i="1"/>
  <c r="V12" i="1"/>
  <c r="R12" i="1"/>
  <c r="Q12" i="1"/>
  <c r="M12" i="1"/>
  <c r="L12" i="1"/>
  <c r="G12" i="1"/>
  <c r="F12" i="1"/>
  <c r="D12" i="1"/>
  <c r="BU12" i="1" s="1"/>
  <c r="BK10" i="1"/>
  <c r="BJ10" i="1"/>
  <c r="CQ10" i="1" s="1"/>
  <c r="D17" i="3" s="1"/>
  <c r="E17" i="3" s="1"/>
  <c r="BF10" i="1"/>
  <c r="BE10" i="1"/>
  <c r="BA10" i="1"/>
  <c r="AZ10" i="1"/>
  <c r="AV10" i="1"/>
  <c r="AU10" i="1"/>
  <c r="AQ10" i="1"/>
  <c r="AP10" i="1"/>
  <c r="AL10" i="1"/>
  <c r="AK10" i="1"/>
  <c r="AG10" i="1"/>
  <c r="AF10" i="1"/>
  <c r="AB10" i="1"/>
  <c r="AA10" i="1"/>
  <c r="W10" i="1"/>
  <c r="V10" i="1"/>
  <c r="R10" i="1"/>
  <c r="Q10" i="1"/>
  <c r="M10" i="1"/>
  <c r="L10" i="1"/>
  <c r="G10" i="1"/>
  <c r="F10" i="1"/>
  <c r="D10" i="1"/>
  <c r="BU10" i="1" s="1"/>
  <c r="BK9" i="1"/>
  <c r="BJ9" i="1"/>
  <c r="CQ9" i="1" s="1"/>
  <c r="D13" i="3" s="1"/>
  <c r="E13" i="3" s="1"/>
  <c r="BH9" i="1"/>
  <c r="BF9" i="1"/>
  <c r="BE9" i="1"/>
  <c r="BA9" i="1"/>
  <c r="AZ9" i="1"/>
  <c r="AV9" i="1"/>
  <c r="AU9" i="1"/>
  <c r="AQ9" i="1"/>
  <c r="AP9" i="1"/>
  <c r="AL9" i="1"/>
  <c r="AK9" i="1"/>
  <c r="AG9" i="1"/>
  <c r="AF9" i="1"/>
  <c r="AB9" i="1"/>
  <c r="AA9" i="1"/>
  <c r="W9" i="1"/>
  <c r="V9" i="1"/>
  <c r="R9" i="1"/>
  <c r="Q9" i="1"/>
  <c r="M9" i="1"/>
  <c r="L9" i="1"/>
  <c r="G9" i="1"/>
  <c r="F9" i="1"/>
  <c r="D9" i="1"/>
  <c r="BU9" i="1" s="1"/>
  <c r="BK8" i="1"/>
  <c r="BJ8" i="1"/>
  <c r="CQ8" i="1" s="1"/>
  <c r="BH8" i="1"/>
  <c r="BF8" i="1"/>
  <c r="BE8" i="1"/>
  <c r="BA8" i="1"/>
  <c r="AZ8" i="1"/>
  <c r="AV8" i="1"/>
  <c r="AU8" i="1"/>
  <c r="AQ8" i="1"/>
  <c r="AP8" i="1"/>
  <c r="AL8" i="1"/>
  <c r="AK8" i="1"/>
  <c r="AG8" i="1"/>
  <c r="AF8" i="1"/>
  <c r="AB8" i="1"/>
  <c r="AA8" i="1"/>
  <c r="W8" i="1"/>
  <c r="V8" i="1"/>
  <c r="R8" i="1"/>
  <c r="Q8" i="1"/>
  <c r="M8" i="1"/>
  <c r="L8" i="1"/>
  <c r="G8" i="1"/>
  <c r="F8" i="1"/>
  <c r="D8" i="1"/>
  <c r="BU8" i="1" s="1"/>
  <c r="CE50" i="1" l="1"/>
  <c r="BP50" i="1"/>
  <c r="BU50" i="1"/>
  <c r="BU48" i="1"/>
  <c r="BP48" i="1"/>
  <c r="CE48" i="1"/>
  <c r="D7" i="4"/>
  <c r="E7" i="4" s="1"/>
  <c r="E13" i="4" s="1"/>
  <c r="D15" i="4" s="1"/>
  <c r="E15" i="4" s="1"/>
  <c r="D19" i="7"/>
  <c r="E19" i="7" s="1"/>
  <c r="CQ98" i="1"/>
  <c r="D5" i="10" s="1"/>
  <c r="E5" i="10" s="1"/>
  <c r="CQ99" i="1"/>
  <c r="D6" i="10" s="1"/>
  <c r="E6" i="10" s="1"/>
  <c r="CQ100" i="1"/>
  <c r="D7" i="10" s="1"/>
  <c r="E7" i="10" s="1"/>
  <c r="D19" i="6"/>
  <c r="E19" i="6" s="1"/>
  <c r="D13" i="6"/>
  <c r="E13" i="6" s="1"/>
  <c r="D21" i="6"/>
  <c r="E21" i="6" s="1"/>
  <c r="D6" i="6"/>
  <c r="E6" i="6" s="1"/>
  <c r="D22" i="6"/>
  <c r="E22" i="6" s="1"/>
  <c r="D20" i="6"/>
  <c r="E20" i="6" s="1"/>
  <c r="D23" i="6"/>
  <c r="E23" i="6" s="1"/>
  <c r="D12" i="6"/>
  <c r="E12" i="6" s="1"/>
  <c r="D9" i="6"/>
  <c r="E9" i="6" s="1"/>
  <c r="D17" i="6"/>
  <c r="E17" i="6" s="1"/>
  <c r="D18" i="6"/>
  <c r="E18" i="6" s="1"/>
  <c r="E8" i="7"/>
  <c r="D10" i="7" s="1"/>
  <c r="E10" i="7" s="1"/>
  <c r="E11" i="7" s="1"/>
  <c r="D6" i="3"/>
  <c r="E6" i="3" s="1"/>
  <c r="D20" i="3" s="1"/>
  <c r="E20" i="3" s="1"/>
  <c r="CQ83" i="1"/>
  <c r="D18" i="8" s="1"/>
  <c r="E18" i="8" s="1"/>
  <c r="CQ72" i="1"/>
  <c r="D7" i="8" s="1"/>
  <c r="E7" i="8" s="1"/>
  <c r="AB92" i="1"/>
  <c r="AG92" i="1"/>
  <c r="AB91" i="1"/>
  <c r="AG91" i="1"/>
  <c r="CQ90" i="1"/>
  <c r="CQ88" i="1"/>
  <c r="D23" i="8" s="1"/>
  <c r="E23" i="8" s="1"/>
  <c r="CQ84" i="1"/>
  <c r="D19" i="8" s="1"/>
  <c r="E19" i="8" s="1"/>
  <c r="CQ87" i="1"/>
  <c r="D22" i="8" s="1"/>
  <c r="E22" i="8" s="1"/>
  <c r="AB82" i="1"/>
  <c r="AG82" i="1"/>
  <c r="CQ80" i="1"/>
  <c r="D15" i="8" s="1"/>
  <c r="E15" i="8" s="1"/>
  <c r="CQ89" i="1"/>
  <c r="D24" i="8" s="1"/>
  <c r="E24" i="8" s="1"/>
  <c r="CQ81" i="1"/>
  <c r="D16" i="8" s="1"/>
  <c r="E16" i="8" s="1"/>
  <c r="CQ74" i="1"/>
  <c r="D9" i="8" s="1"/>
  <c r="E9" i="8" s="1"/>
  <c r="CQ77" i="1"/>
  <c r="D12" i="8" s="1"/>
  <c r="E12" i="8" s="1"/>
  <c r="CQ73" i="1"/>
  <c r="D8" i="8" s="1"/>
  <c r="E8" i="8" s="1"/>
  <c r="CQ85" i="1"/>
  <c r="D20" i="8" s="1"/>
  <c r="E20" i="8" s="1"/>
  <c r="CQ86" i="1"/>
  <c r="D21" i="8" s="1"/>
  <c r="E21" i="8" s="1"/>
  <c r="CQ103" i="1"/>
  <c r="D5" i="11" s="1"/>
  <c r="E17" i="2" s="1"/>
  <c r="CQ75" i="1"/>
  <c r="D10" i="8" s="1"/>
  <c r="E10" i="8" s="1"/>
  <c r="CQ82" i="1"/>
  <c r="D17" i="8" s="1"/>
  <c r="E17" i="8" s="1"/>
  <c r="CQ92" i="1"/>
  <c r="CQ76" i="1"/>
  <c r="D11" i="8" s="1"/>
  <c r="E11" i="8" s="1"/>
  <c r="CQ91" i="1"/>
  <c r="CQ96" i="1"/>
  <c r="CQ94" i="1"/>
  <c r="CQ95" i="1"/>
  <c r="CQ58" i="1"/>
  <c r="CQ57" i="1"/>
  <c r="CQ61" i="1"/>
  <c r="CQ55" i="1"/>
  <c r="CQ54" i="1"/>
  <c r="CQ62" i="1"/>
  <c r="CQ63" i="1"/>
  <c r="BU49" i="1"/>
  <c r="BZ49" i="1"/>
  <c r="BU47" i="1"/>
  <c r="BZ47" i="1"/>
  <c r="CJ101" i="1"/>
  <c r="CO101" i="1"/>
  <c r="BU45" i="1"/>
  <c r="BU21" i="1"/>
  <c r="BU28" i="1"/>
  <c r="BZ28" i="1"/>
  <c r="BU36" i="1"/>
  <c r="BZ36" i="1"/>
  <c r="CE44" i="1"/>
  <c r="BZ44" i="1"/>
  <c r="BU30" i="1"/>
  <c r="BZ30" i="1"/>
  <c r="BU38" i="1"/>
  <c r="BZ38" i="1"/>
  <c r="BU37" i="1"/>
  <c r="BZ37" i="1"/>
  <c r="BU31" i="1"/>
  <c r="BZ31" i="1"/>
  <c r="BU39" i="1"/>
  <c r="BZ39" i="1"/>
  <c r="BU40" i="1"/>
  <c r="BZ40" i="1"/>
  <c r="BU24" i="1"/>
  <c r="BZ24" i="1"/>
  <c r="CE33" i="1"/>
  <c r="BZ33" i="1"/>
  <c r="BU41" i="1"/>
  <c r="BZ41" i="1"/>
  <c r="BU29" i="1"/>
  <c r="BZ29" i="1"/>
  <c r="BU23" i="1"/>
  <c r="BZ23" i="1"/>
  <c r="BU32" i="1"/>
  <c r="BZ32" i="1"/>
  <c r="BU26" i="1"/>
  <c r="BZ26" i="1"/>
  <c r="BU34" i="1"/>
  <c r="BZ34" i="1"/>
  <c r="BU42" i="1"/>
  <c r="BZ42" i="1"/>
  <c r="BU27" i="1"/>
  <c r="BZ27" i="1"/>
  <c r="BU35" i="1"/>
  <c r="BZ35" i="1"/>
  <c r="BU43" i="1"/>
  <c r="BZ43" i="1"/>
  <c r="BU22" i="1"/>
  <c r="BZ22" i="1"/>
  <c r="BU33" i="1"/>
  <c r="BU44" i="1"/>
  <c r="BU19" i="1"/>
  <c r="BP19" i="1"/>
  <c r="G19" i="1"/>
  <c r="BP13" i="1"/>
  <c r="CE13" i="1"/>
  <c r="BP14" i="1"/>
  <c r="CE14" i="1"/>
  <c r="BP15" i="1"/>
  <c r="CE15" i="1"/>
  <c r="BP16" i="1"/>
  <c r="CE16" i="1"/>
  <c r="BP12" i="1"/>
  <c r="CE12" i="1"/>
  <c r="BP9" i="1"/>
  <c r="CE9" i="1"/>
  <c r="BP10" i="1"/>
  <c r="CE10" i="1"/>
  <c r="BP8" i="1"/>
  <c r="CE8" i="1"/>
  <c r="BP49" i="1"/>
  <c r="CE49" i="1"/>
  <c r="BP47" i="1"/>
  <c r="CE47" i="1"/>
  <c r="BP22" i="1"/>
  <c r="CE22" i="1"/>
  <c r="BP31" i="1"/>
  <c r="CE31" i="1"/>
  <c r="BP39" i="1"/>
  <c r="CE39" i="1"/>
  <c r="BP24" i="1"/>
  <c r="CE24" i="1"/>
  <c r="BP41" i="1"/>
  <c r="CE41" i="1"/>
  <c r="BP26" i="1"/>
  <c r="CE26" i="1"/>
  <c r="BP34" i="1"/>
  <c r="CE34" i="1"/>
  <c r="BP42" i="1"/>
  <c r="CE42" i="1"/>
  <c r="BP27" i="1"/>
  <c r="CE27" i="1"/>
  <c r="BP35" i="1"/>
  <c r="CE35" i="1"/>
  <c r="BP43" i="1"/>
  <c r="CE43" i="1"/>
  <c r="BP32" i="1"/>
  <c r="CE32" i="1"/>
  <c r="BP28" i="1"/>
  <c r="CE28" i="1"/>
  <c r="BP36" i="1"/>
  <c r="CE36" i="1"/>
  <c r="BP23" i="1"/>
  <c r="CE23" i="1"/>
  <c r="BP29" i="1"/>
  <c r="CE29" i="1"/>
  <c r="BP37" i="1"/>
  <c r="CE37" i="1"/>
  <c r="BP45" i="1"/>
  <c r="CE45" i="1"/>
  <c r="BP40" i="1"/>
  <c r="CE40" i="1"/>
  <c r="BP30" i="1"/>
  <c r="CE30" i="1"/>
  <c r="BP38" i="1"/>
  <c r="CE38" i="1"/>
  <c r="BP21" i="1"/>
  <c r="CE21" i="1"/>
  <c r="BP44" i="1"/>
  <c r="BP33" i="1"/>
  <c r="E28" i="5"/>
  <c r="D30" i="5" s="1"/>
  <c r="E30" i="5" s="1"/>
  <c r="E32" i="5" s="1"/>
  <c r="E33" i="5" s="1"/>
  <c r="E17" i="7"/>
  <c r="E20" i="7" s="1"/>
  <c r="F17" i="2" l="1"/>
  <c r="I17" i="2" s="1"/>
  <c r="J17" i="2" s="1"/>
  <c r="D27" i="8"/>
  <c r="E27" i="8" s="1"/>
  <c r="D9" i="9"/>
  <c r="E9" i="9" s="1"/>
  <c r="D10" i="9"/>
  <c r="E10" i="9" s="1"/>
  <c r="E9" i="10"/>
  <c r="D8" i="9"/>
  <c r="D16" i="6"/>
  <c r="E16" i="6" s="1"/>
  <c r="D7" i="6"/>
  <c r="E7" i="6" s="1"/>
  <c r="D8" i="6"/>
  <c r="E8" i="6" s="1"/>
  <c r="D14" i="6"/>
  <c r="E14" i="6" s="1"/>
  <c r="D15" i="6"/>
  <c r="E15" i="6" s="1"/>
  <c r="D10" i="6"/>
  <c r="E10" i="6" s="1"/>
  <c r="D11" i="6"/>
  <c r="E11" i="6" s="1"/>
  <c r="E5" i="11"/>
  <c r="E6" i="11" s="1"/>
  <c r="E16" i="4"/>
  <c r="E18" i="4" s="1"/>
  <c r="I6" i="2"/>
  <c r="J6" i="2" s="1"/>
  <c r="E23" i="7"/>
  <c r="E7" i="2" s="1"/>
  <c r="E14" i="9" l="1"/>
  <c r="D14" i="9" s="1"/>
  <c r="E13" i="2" s="1"/>
  <c r="E13" i="9"/>
  <c r="D13" i="9" s="1"/>
  <c r="E12" i="2" s="1"/>
  <c r="E30" i="8"/>
  <c r="D32" i="8" s="1"/>
  <c r="E15" i="2"/>
  <c r="E8" i="9"/>
  <c r="E11" i="9" s="1"/>
  <c r="E15" i="9" s="1"/>
  <c r="E24" i="6"/>
  <c r="D26" i="6" s="1"/>
  <c r="E26" i="6" s="1"/>
  <c r="E28" i="6" s="1"/>
  <c r="E9" i="2" s="1"/>
  <c r="E19" i="4"/>
  <c r="E22" i="3"/>
  <c r="F7" i="2"/>
  <c r="I7" i="2" s="1"/>
  <c r="J7" i="2" s="1"/>
  <c r="E24" i="7"/>
  <c r="F15" i="2" l="1"/>
  <c r="I15" i="2" s="1"/>
  <c r="J15" i="2" s="1"/>
  <c r="F13" i="2"/>
  <c r="I13" i="2" s="1"/>
  <c r="J13" i="2" s="1"/>
  <c r="F12" i="2"/>
  <c r="I12" i="2" s="1"/>
  <c r="J12" i="2" s="1"/>
  <c r="E23" i="3"/>
  <c r="G5" i="2" s="1"/>
  <c r="E5" i="2"/>
  <c r="E29" i="6"/>
  <c r="I5" i="2"/>
  <c r="E32" i="8"/>
  <c r="E33" i="8" s="1"/>
  <c r="E10" i="2" s="1"/>
  <c r="F9" i="2"/>
  <c r="H9" i="2" s="1"/>
  <c r="E20" i="2" l="1"/>
  <c r="F10" i="2"/>
  <c r="H10" i="2" s="1"/>
  <c r="H21" i="2" s="1"/>
  <c r="F19" i="2"/>
  <c r="I19" i="2" s="1"/>
  <c r="J19" i="2" s="1"/>
  <c r="F5" i="2"/>
  <c r="E34" i="8"/>
  <c r="G21" i="2"/>
  <c r="J9" i="2"/>
  <c r="J10" i="2" l="1"/>
  <c r="F20" i="2"/>
  <c r="I20" i="2" s="1"/>
  <c r="J5" i="2"/>
  <c r="J20" i="2" l="1"/>
  <c r="J21" i="2" s="1"/>
  <c r="I21" i="2" l="1"/>
</calcChain>
</file>

<file path=xl/sharedStrings.xml><?xml version="1.0" encoding="utf-8"?>
<sst xmlns="http://schemas.openxmlformats.org/spreadsheetml/2006/main" count="695" uniqueCount="276">
  <si>
    <t>No.árb Prom/Fam</t>
  </si>
  <si>
    <t>PIEDAD VICTORIA ESCOBAR HERRERA</t>
  </si>
  <si>
    <t>AGS COFFEE</t>
  </si>
  <si>
    <t>GRANJA DEL CAFÉ</t>
  </si>
  <si>
    <t>PAVCO</t>
  </si>
  <si>
    <t>FERRINGSA</t>
  </si>
  <si>
    <t>DURMAN</t>
  </si>
  <si>
    <t>MADERINCO</t>
  </si>
  <si>
    <t>SANTIGO</t>
  </si>
  <si>
    <t>CREADEMIN</t>
  </si>
  <si>
    <t>UNYON S.A.S</t>
  </si>
  <si>
    <t>VIVERO LA PALMA</t>
  </si>
  <si>
    <t>ADQUISICIÓN Y/O CONTRATACIÓN</t>
  </si>
  <si>
    <t>Unidad</t>
  </si>
  <si>
    <t>Cantidad Unitaria</t>
  </si>
  <si>
    <t>Cantidd total</t>
  </si>
  <si>
    <t>Costo unitario</t>
  </si>
  <si>
    <t>Valor total unitario</t>
  </si>
  <si>
    <t xml:space="preserve">Valor total </t>
  </si>
  <si>
    <t>OBSERVACIONES</t>
  </si>
  <si>
    <t>Iva</t>
  </si>
  <si>
    <t>1. COSTO PLÁNTULAS CAFÉ (Coffea arabica - Cenicafé) PARA ESTABLECIMIENTO Y FORTALECIMIENTO (resiembra plántulas café)</t>
  </si>
  <si>
    <r>
      <rPr>
        <sz val="11"/>
        <color theme="1"/>
        <rFont val="Calibri"/>
        <family val="2"/>
      </rPr>
      <t xml:space="preserve">Plántulas café </t>
    </r>
    <r>
      <rPr>
        <i/>
        <sz val="11"/>
        <color theme="1"/>
        <rFont val="Calibri"/>
        <family val="2"/>
      </rPr>
      <t>(Coffea arabica - Cenicafé)</t>
    </r>
    <r>
      <rPr>
        <sz val="11"/>
        <color theme="1"/>
        <rFont val="Calibri"/>
        <family val="2"/>
      </rPr>
      <t xml:space="preserve"> </t>
    </r>
  </si>
  <si>
    <t>Plántulas</t>
  </si>
  <si>
    <t>4 Meses después de implementado el sistema</t>
  </si>
  <si>
    <t>8 Meses después de implementado el sistema</t>
  </si>
  <si>
    <t>2. COSTOS DE IMPLEMENTACIÓN DE UNA (1) HECTÁREA EN SISTEMA AGROFORESTAL CON CAFÉ</t>
  </si>
  <si>
    <t>Plantulas árboles forestales para aprovechamiento (maderables) - Mínimo de 40cm</t>
  </si>
  <si>
    <t>Plantulas árboles forestales nativos de conservación y protección - Mínimo de 40cm</t>
  </si>
  <si>
    <t>Árboles frutales altura entre 50-80 cm</t>
  </si>
  <si>
    <t>Abono organico (230gr/plántula café, forestales y colinos)</t>
  </si>
  <si>
    <t>Bulto (50kg)</t>
  </si>
  <si>
    <t>2.1 COSTOS DE BIOFABRICAS (control fitosanitario y nutrición vegetal) SISTEMA AGROFORESTAL CON CAFÉ</t>
  </si>
  <si>
    <t xml:space="preserve">Canecas plásticas 8 galones con cierre hermético de aro metálico </t>
  </si>
  <si>
    <t>Caneca</t>
  </si>
  <si>
    <t>Canecas plásticas 15 galones con cierre hermético de aro metálico</t>
  </si>
  <si>
    <t>Cuñete o timbo x 20 litros con tapa</t>
  </si>
  <si>
    <t>Balde x 10 litros</t>
  </si>
  <si>
    <t xml:space="preserve">Unidad </t>
  </si>
  <si>
    <t>Gramera digital</t>
  </si>
  <si>
    <t xml:space="preserve">Manguera de nivel media pulgada </t>
  </si>
  <si>
    <t>Metro</t>
  </si>
  <si>
    <t xml:space="preserve">Alcohol etílico al 90 % </t>
  </si>
  <si>
    <t>Galon</t>
  </si>
  <si>
    <t>Cascarilla de arroz</t>
  </si>
  <si>
    <t xml:space="preserve">Paca </t>
  </si>
  <si>
    <t xml:space="preserve">Harina de cereal (Maiz,trigo,Zorgo) </t>
  </si>
  <si>
    <t xml:space="preserve">Bulto </t>
  </si>
  <si>
    <t>Borax.   Boro para uso agrícola</t>
  </si>
  <si>
    <t xml:space="preserve">Libras </t>
  </si>
  <si>
    <t>Sulfato de Magnesio para uso agricola</t>
  </si>
  <si>
    <t>Kilo</t>
  </si>
  <si>
    <t xml:space="preserve">Sulfato de Cobre </t>
  </si>
  <si>
    <t>Sulfato de Zinc para uso agrícola</t>
  </si>
  <si>
    <t>Libras</t>
  </si>
  <si>
    <t>Sulfato de hierro</t>
  </si>
  <si>
    <t xml:space="preserve">Sulfato de Potasio </t>
  </si>
  <si>
    <t>Roca Fosfórica x 50 kg</t>
  </si>
  <si>
    <t>Hidróxido de calcio o cal de blanquear x 10kg</t>
  </si>
  <si>
    <t xml:space="preserve">Melaza (Miel de purga) * 30 kilogramos </t>
  </si>
  <si>
    <t>Bolsa*30 kg</t>
  </si>
  <si>
    <t>Levadura Pan . Levadura seca de panaderia 500 gr.</t>
  </si>
  <si>
    <t>Libra</t>
  </si>
  <si>
    <t>Semilla ruda</t>
  </si>
  <si>
    <t>Sobre</t>
  </si>
  <si>
    <t>Semilla ají picante (habanero, pajarito, tabasco)</t>
  </si>
  <si>
    <t>Semilla cebolla cabezona roja o blanca</t>
  </si>
  <si>
    <t>Semillas Plantas alelopáticas varias (manzanilla, caléndula, orégano, limoncillo, menta)</t>
  </si>
  <si>
    <t xml:space="preserve">Bandejas de germinación x 128 cavidades </t>
  </si>
  <si>
    <t>Bandeja</t>
  </si>
  <si>
    <t>Microorganismos entomopatógenos (cepas de Metarhizium, trichoderma, beauveria, entre otros)</t>
  </si>
  <si>
    <t xml:space="preserve">2,2 COSTOS DE FORTALECIMIENTO DE UNA (1) HECTÁREA SISTEMA AGROFORESTAL CON CAFÉ </t>
  </si>
  <si>
    <t>Resiembra plantulas forestales</t>
  </si>
  <si>
    <t xml:space="preserve">A los 4 meses después de implementar el sistema </t>
  </si>
  <si>
    <t>Resiembra colinos de plátano</t>
  </si>
  <si>
    <t xml:space="preserve">A los 8 meses después de implementar el sistema </t>
  </si>
  <si>
    <t xml:space="preserve">3 COMPONENTE SUMINISTRO, TRANSPORTE E INSTALACIÓN DE COMPOSTERA (5,8*3,0) 300@ </t>
  </si>
  <si>
    <t>Amarres para teja</t>
  </si>
  <si>
    <t>unidad</t>
  </si>
  <si>
    <t>Cemento bulto de 50 kilos</t>
  </si>
  <si>
    <t>Clavo 2" para madera</t>
  </si>
  <si>
    <t>libra</t>
  </si>
  <si>
    <t>Clavo 3" para madera</t>
  </si>
  <si>
    <t>Gravilla de río, Incluye 12 Sacos de 40 kg; por cada 0,40 m3</t>
  </si>
  <si>
    <t>m³</t>
  </si>
  <si>
    <t>Larguero madera  4"*2"*4m de longitud</t>
  </si>
  <si>
    <t>Larguero madera fina  4"*4"*3m de longitud</t>
  </si>
  <si>
    <t xml:space="preserve">Malla electrosoldada tipo D50 </t>
  </si>
  <si>
    <t>Piedra Canto rodado para entresuelo Incluye 12 Sacos de 40 kg; por cada 0,40 m3</t>
  </si>
  <si>
    <t>Postes de madera inmunizada 10 cm de diametro x2.0m</t>
  </si>
  <si>
    <t>Deben ser aserrío certificado</t>
  </si>
  <si>
    <t>Postes de madera inmunizada 9cm de diametro x3m</t>
  </si>
  <si>
    <t>Postes de madera inmunizada 9cm de diametro x4m</t>
  </si>
  <si>
    <t>Rejilla patio pulpa</t>
  </si>
  <si>
    <t>Tanque plástico 250 L</t>
  </si>
  <si>
    <t>Teja  Plástica ondulado de nº10, 3.66 x 0.8m N°12 - Durabilidad 10 años</t>
  </si>
  <si>
    <t>Teja de zinc ondulado de Nº12, 3.66 x 0.8m calibre 34</t>
  </si>
  <si>
    <t>Tubo PVC sanitaria 2" de 6 m Pavco</t>
  </si>
  <si>
    <t>Codo Sanitario 2"</t>
  </si>
  <si>
    <t>Soldadura PVC  por 1/32 galón</t>
  </si>
  <si>
    <t xml:space="preserve">4 COSTOS DE INSTALACIÓN SISTEMA DE TRATAMIENTO DE AGUAS MIELES </t>
  </si>
  <si>
    <t>Adaptador hembra PVC presión 1"</t>
  </si>
  <si>
    <t>Adaptador hembra PVC presión 2"</t>
  </si>
  <si>
    <t>Adaptador macho PVC presión 1"</t>
  </si>
  <si>
    <t>Adaptador macho PVC presión 2"</t>
  </si>
  <si>
    <t>Codo 90 PVC sanitaria 2" campana*campana</t>
  </si>
  <si>
    <t>Codo 45 PVC sanitaria 2" campana*campana</t>
  </si>
  <si>
    <t>Empaques de caucho 1" para adaptadores</t>
  </si>
  <si>
    <t>Empaques de caucho 2" para adaptadores</t>
  </si>
  <si>
    <t>Limpiador  1/32 de galón</t>
  </si>
  <si>
    <t>Pega PVC  1/16 galón</t>
  </si>
  <si>
    <t>Rosetón plásticas</t>
  </si>
  <si>
    <t>Silicona liquida transparente 300ml</t>
  </si>
  <si>
    <t>Tee PVC sanitaria 2"</t>
  </si>
  <si>
    <t xml:space="preserve">Tubo PVC presión 1" </t>
  </si>
  <si>
    <t>Tubo PVC Sanitaria de  2" x 6 mts</t>
  </si>
  <si>
    <t>Válvula de bola presión PVC lisa de 1"</t>
  </si>
  <si>
    <t>Válvula de bola presión PVC lisa de 2"</t>
  </si>
  <si>
    <t>Yee PVC  sanitaria doble de 2"</t>
  </si>
  <si>
    <t>Piedra Canto rodado para entresuelo Incluye 24 Sacos de 40 kg; por cada 0,40 m3</t>
  </si>
  <si>
    <t>m3</t>
  </si>
  <si>
    <t>Plástico polietileno negro cal 8 de 6m de ancho</t>
  </si>
  <si>
    <t>m</t>
  </si>
  <si>
    <t>5 COSTOS DE COMPONENTE TÉCNICO</t>
  </si>
  <si>
    <t xml:space="preserve">Global </t>
  </si>
  <si>
    <t xml:space="preserve">6 COMPONENTE CAPACITACIONES </t>
  </si>
  <si>
    <t>Refrigerios para la jornada de capacitación en restauración productiva sostenible con sistemas agroforestales con café</t>
  </si>
  <si>
    <t>Refrigerios</t>
  </si>
  <si>
    <t>Refrigerios para la jornada de capacitación en biofrabricas para el control fitosanitario y nutrición vegetal</t>
  </si>
  <si>
    <t xml:space="preserve">Refrigerios para las jornada de capacitación en sistemas de tratamiento de aguas mieles </t>
  </si>
  <si>
    <t>Transporte (cada capacitación se hará 4 veces)</t>
  </si>
  <si>
    <t>Viajes</t>
  </si>
  <si>
    <t>7 DISTINTIVO CAFETEROS</t>
  </si>
  <si>
    <t>ÍTEM</t>
  </si>
  <si>
    <t>UND</t>
  </si>
  <si>
    <t>CANT TOTAL</t>
  </si>
  <si>
    <t xml:space="preserve">TOTAL </t>
  </si>
  <si>
    <t>Hectárea</t>
  </si>
  <si>
    <t>2.1</t>
  </si>
  <si>
    <t>Biofabrica</t>
  </si>
  <si>
    <t>2.2</t>
  </si>
  <si>
    <t>Compostera</t>
  </si>
  <si>
    <t>STAM</t>
  </si>
  <si>
    <t>5.1</t>
  </si>
  <si>
    <t>Mes</t>
  </si>
  <si>
    <t>Capacitación</t>
  </si>
  <si>
    <t>Gorra</t>
  </si>
  <si>
    <t>TOTAL PROYECTO</t>
  </si>
  <si>
    <t>Cantidad por ha</t>
  </si>
  <si>
    <t>Valor total por ha</t>
  </si>
  <si>
    <t>1. INSUMOS SISTEMA PLÁNTULAS CAFÉ</t>
  </si>
  <si>
    <t xml:space="preserve">1.2 COSTOS DE MANTENIMIENTO RESIEMBRA Plántulas café (Coffea arabica - Cenicafé) </t>
  </si>
  <si>
    <t>1.2.1 PRIMER FORTALECIMIENTO SISTEMA AGROFORESTAL CON CAFÉ</t>
  </si>
  <si>
    <t>1.1 INSUMOS SISTEMA PLÁNTULAS CAFÉ</t>
  </si>
  <si>
    <t>1.2.2 SEGUNDO FORTALECIMIENTO SISTEMA AGROFORESTAL CON CAFÉ</t>
  </si>
  <si>
    <t>COSTOS INDIRECTOS</t>
  </si>
  <si>
    <t>Transporte mayor (20% insumos)</t>
  </si>
  <si>
    <t>Global</t>
  </si>
  <si>
    <t>2. ESTABLECIMIENTO</t>
  </si>
  <si>
    <t>INSUMOS SISTEMA AGROFORESTAL</t>
  </si>
  <si>
    <t>TOTAL</t>
  </si>
  <si>
    <t xml:space="preserve">Total implementación </t>
  </si>
  <si>
    <t>TOTAL IMPLEMENTACIÓN POR BENEFICIARIO</t>
  </si>
  <si>
    <t>TOTAL IMPLEMENTACIÓN POR 80 BENEFICIARIOS</t>
  </si>
  <si>
    <t xml:space="preserve">Cantidad </t>
  </si>
  <si>
    <t>Valor total</t>
  </si>
  <si>
    <t>Total</t>
  </si>
  <si>
    <t>Valor total compostera</t>
  </si>
  <si>
    <t xml:space="preserve">Materiales para la compostera </t>
  </si>
  <si>
    <t xml:space="preserve">Total </t>
  </si>
  <si>
    <t>1. FORTALECIMIENTO SISTEMA AGROFORESTAL CON CAFÉ</t>
  </si>
  <si>
    <t>1.1 INSUMOS SISTEMA AGROFORESTAL</t>
  </si>
  <si>
    <t>1.2 COSTOS INDIRECTOS</t>
  </si>
  <si>
    <t>Transporte mayor</t>
  </si>
  <si>
    <t>Total primer fortalecimiento</t>
  </si>
  <si>
    <t>2. FORTALECIMIENTO SISTEMA AGROFORESTAL CON CAFÉ</t>
  </si>
  <si>
    <t>Total segundo fortalecimiento</t>
  </si>
  <si>
    <t>Materiales para STAM</t>
  </si>
  <si>
    <t>Materiales postratamiento</t>
  </si>
  <si>
    <t>Excavación manual material común (0-2 m)</t>
  </si>
  <si>
    <t>Costo Total</t>
  </si>
  <si>
    <t>EQUIPO TÉCNICO</t>
  </si>
  <si>
    <t>Profesional en Ingenieria Agronoma, agricola, agropecuaria o afines. Con experiencia mínima de 1 año en proyectos productivos. Coordinación, planeación y ejecución de las diferentes acciones proyectadas, consolidación de información tecnica y administrativa, apoyo en las visitas de caracterización, entrega de insumos, seguimiento al establecimiento y mantenimiento, gestión y coordinacion  de las jornadas de capacitaciones y reuniones, asesorías técnicas, entre otros que garanticen el éxito del proyecto.</t>
  </si>
  <si>
    <t xml:space="preserve">Meses </t>
  </si>
  <si>
    <t>Técnico para el desarrollo de actividades enfocadas en la restauración productivas sostenibles (visitas de caracterización, entrega de insumos, seguimiento al establecimiento y mantenimiento, acompañamiento en capacitaciones y reuniones, asesorías técnicas, entre otros que garanticen el éxito del proyecto)</t>
  </si>
  <si>
    <t xml:space="preserve">TOTAL COMPONENTE TÉCNICO </t>
  </si>
  <si>
    <t xml:space="preserve">CAPACITACIONES </t>
  </si>
  <si>
    <t>TOTAL CAPACITACIONES</t>
  </si>
  <si>
    <t>PRESUPUESTO GENERAL CONVENIO DE ASOCIACIÓN</t>
  </si>
  <si>
    <t xml:space="preserve">Caficultores mínimo </t>
  </si>
  <si>
    <t>Pántulas café</t>
  </si>
  <si>
    <t xml:space="preserve">Gorra bordada para usuarios con los logos de la ESAL y Cornare </t>
  </si>
  <si>
    <t>Dotación equipo técnico 2 camibusos con los logos bordados de la ESAL y Cornare</t>
  </si>
  <si>
    <t>Dotación equipo técnico  1 camiseta con los logos bordados de la ESAL y Cornare</t>
  </si>
  <si>
    <t>Dotación equipo técnico 1 gorra con los logos bordados de la ESAL y Cornare</t>
  </si>
  <si>
    <t>MULTIMODAL</t>
  </si>
  <si>
    <t>Machete con funda</t>
  </si>
  <si>
    <t>Pala con mango de madera</t>
  </si>
  <si>
    <t>Lima para el machete</t>
  </si>
  <si>
    <t>Machete</t>
  </si>
  <si>
    <t>Pala (completa)</t>
  </si>
  <si>
    <t>Lima</t>
  </si>
  <si>
    <t>NACIONAL TOURS</t>
  </si>
  <si>
    <t>Municipios (Abejorral, Sonsón, Argelia, Nariño, San Rafael, San Francisco, Granada )</t>
  </si>
  <si>
    <t>Promedio costo unitario</t>
  </si>
  <si>
    <t>TOTAL IMPLEMENTACIÓN POR 80 HECTÁREAS</t>
  </si>
  <si>
    <t>TOTAL IMPLEMENTACIÓN POR HECTÁREA</t>
  </si>
  <si>
    <t>TOTAL IMPLEMENTACIÓN Y FORTALECIMIENTOS Plántulas café (Coffea arabica - Cenicafé)  POR HECTÁREA</t>
  </si>
  <si>
    <t>TOTAL IMPLEMENTACIÓN Y FORTALECIMIENTOS Plántulas café (Coffea arabica - Cenicafé) POR 80 HECTÁREAS</t>
  </si>
  <si>
    <t xml:space="preserve">1.1 COSTO ESTABLECIMIENTO Plántulas café (Coffea arabica) </t>
  </si>
  <si>
    <r>
      <t xml:space="preserve">Resiembra plántulas café </t>
    </r>
    <r>
      <rPr>
        <i/>
        <sz val="11"/>
        <color theme="1"/>
        <rFont val="Calibri"/>
        <family val="2"/>
      </rPr>
      <t xml:space="preserve"> (Coffea arabica) </t>
    </r>
  </si>
  <si>
    <t>1. COSTO PLÁNTULAS CAFÉ (Coffea arabica) PARA ESTABLECIMIENTO Y FORTALECIMIENTO (resiembra plántulas café)</t>
  </si>
  <si>
    <t>TOTAL FORTALECIMIENTO POR HECTÁREA</t>
  </si>
  <si>
    <t>TOTAL FORTALECIMIENTO POR 80 HECTÁREAS</t>
  </si>
  <si>
    <t>Camiseta</t>
  </si>
  <si>
    <t>Camibuso</t>
  </si>
  <si>
    <t>ACTIVIDAD</t>
  </si>
  <si>
    <t>UNIDAD</t>
  </si>
  <si>
    <t>MESES</t>
  </si>
  <si>
    <t>Plazo: 12 meses</t>
  </si>
  <si>
    <t xml:space="preserve">Realización de capacitaciones enfocados en la comunidad cafetera acerca de la restauración productiva sostenibles, el uso de biofabricas y el manejo de las composteras y los sistemas de tratamiento de aguas mieles. </t>
  </si>
  <si>
    <t xml:space="preserve">AIU </t>
  </si>
  <si>
    <t>Costos administrativos para la adecuada ejecución del protecto ( 12% del valor del aporte de Cornare)</t>
  </si>
  <si>
    <t xml:space="preserve">Implementación de composteras techadas donde se realizará la descomposición de la pulpa, para utilizarla como abono y reducir la contaminación hídrica. </t>
  </si>
  <si>
    <t>Distintivo para los cafeteros participantes en el proyecto, como símbolo de reconocimiento, pertenencia, promoción y difusión.</t>
  </si>
  <si>
    <t>Dos técnico (ambientales, agricolas o afines) de apoyo para labores de campo y gestión de la información</t>
  </si>
  <si>
    <t xml:space="preserve">Un coordinador (Profesional en Ingenieria Agronoma, agricola, agropecuaria o afines) con dedicación exclusiva al convenio. </t>
  </si>
  <si>
    <t>3. Equipo técnico para la implementación y seguimiento de actividades</t>
  </si>
  <si>
    <t xml:space="preserve">5. Reconocimiento y apropiación de la caficultura sostenible </t>
  </si>
  <si>
    <t xml:space="preserve"> 2. Mejoramiento de modelos de sistemas productivos sostenibles mediante soluciones innovadoras.</t>
  </si>
  <si>
    <t xml:space="preserve">4. Promoción e implementación de sistemas y prácticas de producción sostenible a partir de capacitaciones para la apropiación del conocimiento </t>
  </si>
  <si>
    <t>1. Desarrollar un modelo de restauración productiva sostenibles con café mediante la diversificación agroforestal y las prácticas sustentables.</t>
  </si>
  <si>
    <t>Implementación de biofabricas como método de producción sostenible que evite la dependencia de insumos o materias primas externas, garantizando el mantenimiento y desarrollo óptimo de los cultivos mediante una nutrición adecuada, control integrado de plagas y manejo efectivo de enfermedades.</t>
  </si>
  <si>
    <t>Establecimiento de sistemas de tratamiento de aguas mieles como práctica sostenible e innovadora para reducir la contaminación del agua, mejorar la salud del suelo y promuever la biodiversidad. Permitiendo reutilizar el agua tratada y fortalecer la resiliencia de los cultivos frente al cambio climático, beneficiando tanto al medio ambiente como a los productores.</t>
  </si>
  <si>
    <t>Implementación de acciones de restauración productiva sostenible enfocadas en la caficultura en 80 hectáreas, promoviendo prácticas sustentables que mejoren la salud del suelo, el agua y la biodiversidad, al tiempo que fortalezcan la productividad y la resiliencia de los sistemas cafeteros frente al cambio climático.</t>
  </si>
  <si>
    <t>Implementación del primer fortalecimiento de las 80 hectáreas destinadas a la restauración productiva sostenible.</t>
  </si>
  <si>
    <t>IMPLEMENTAR UNA ESTRATEGIA DE PRODUCCIÓN SOSTENIBLE CON CAFÉ, PROMOVIENDO LA CONSERVACIÓN DE LOS RECURSOS NATURALES, A TRAVÉS DE LA GOBERNANZA, LA SOSTENIBILIDAD AMBIENTAL Y LA INNOVACIÓN TECNOLÓGICA</t>
  </si>
  <si>
    <t>Capacitaciónes</t>
  </si>
  <si>
    <t>1.1</t>
  </si>
  <si>
    <t>1.2</t>
  </si>
  <si>
    <t>1.3</t>
  </si>
  <si>
    <t>3.1</t>
  </si>
  <si>
    <t>3.2</t>
  </si>
  <si>
    <t>4.1</t>
  </si>
  <si>
    <t>AIU</t>
  </si>
  <si>
    <t xml:space="preserve">Gorra en tela dril bordada con los logos de la ESAL Nacional de Cafeteros y Cornare </t>
  </si>
  <si>
    <t>Un coordinador (Profesional en Ingenieria Agronoma, agricola, agropecuaria o afines) con dedicación exclusiva al convenio.</t>
  </si>
  <si>
    <t>Dos técnico (ambientales, agricolas o afines) de apoyo para labores de campo y gestión de la información.</t>
  </si>
  <si>
    <t>VALOR APORTE ESAL</t>
  </si>
  <si>
    <t xml:space="preserve">VALOR APORTE CORNARE </t>
  </si>
  <si>
    <t xml:space="preserve">VALOR TOTAL </t>
  </si>
  <si>
    <t>VALOR
UNITARIO</t>
  </si>
  <si>
    <t>APORTE ESAL EN ESPECIE</t>
  </si>
  <si>
    <t xml:space="preserve">Costo unitario </t>
  </si>
  <si>
    <t>Tanque plástico de 500 lt de 3.5 mm con tapa (sin perforaciones)</t>
  </si>
  <si>
    <t>Tanque plástico de 1000 lt de 3.5 mm con tapa (sin perdoraciones)</t>
  </si>
  <si>
    <t xml:space="preserve">CRONOGRAMA CONVENIO ASOCIACIÓN CORNARE - ESAL </t>
  </si>
  <si>
    <t>Distintivo</t>
  </si>
  <si>
    <t>Transporte de profesionales para el seguimiento y validación de ejecución en campo.</t>
  </si>
  <si>
    <t>Transporrte</t>
  </si>
  <si>
    <t>Total coordinador</t>
  </si>
  <si>
    <t>Total técnicos</t>
  </si>
  <si>
    <t>Colinos de plátano in vitro</t>
  </si>
  <si>
    <t>Resiembra colinos de plátano in vitro</t>
  </si>
  <si>
    <t xml:space="preserve">A los 6 meses después de implementar el sistema </t>
  </si>
  <si>
    <t xml:space="preserve">A los 3 meses después de implementar el sistema </t>
  </si>
  <si>
    <t>3 Meses después de implementado el sistema</t>
  </si>
  <si>
    <t>6 Meses después de implementado el sistema</t>
  </si>
  <si>
    <t>Abono organico (350gr/plántula café, forestales y colinos)</t>
  </si>
  <si>
    <t>Árboles frutales altura entre 40-80 cm</t>
  </si>
  <si>
    <t>Plantulas árboles forestales nativos de conservación y protección - Mínimo de 30cm</t>
  </si>
  <si>
    <t>Plantulas árboles forestales para aprovechamiento (maderables) - Mínimo de 30cm</t>
  </si>
  <si>
    <t>Resiembra plantulas forestales minimo 30 cm altura</t>
  </si>
  <si>
    <r>
      <t xml:space="preserve">Plántulas café </t>
    </r>
    <r>
      <rPr>
        <i/>
        <sz val="11"/>
        <color theme="1"/>
        <rFont val="Calibri"/>
        <family val="2"/>
      </rPr>
      <t>(Coffea arabica)</t>
    </r>
  </si>
  <si>
    <t xml:space="preserve">COTIZACIONES REALIZADAS PARA LOS LINEAMIENTO DE RESTAURACIÓN 2025 CARGADOS EN LA BPIAC </t>
  </si>
  <si>
    <t xml:space="preserve">COTIZACIONES TRANSPORTE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</si>
</sst>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&quot;$&quot;\ * #,##0.00_-;\-&quot;$&quot;\ * #,##0.00_-;_-&quot;$&quot;\ * &quot;-&quot;??_-;_-@_-"/>
    <numFmt numFmtId="165" formatCode="_-[$$-240A]* #,##0_-;\-[$$-240A]* #,##0_-;_-[$$-240A]* &quot;-&quot;?_-;_-@"/>
    <numFmt numFmtId="166" formatCode="_([$$-240A]\ * #,##0_);_([$$-240A]\ * \(#,##0\);_([$$-240A]\ * &quot;-&quot;??_);_(@_)"/>
    <numFmt numFmtId="167" formatCode="#,##0\ _p_t_a"/>
    <numFmt numFmtId="168" formatCode="_([$$-240A]\ * #,##0.00_);_([$$-240A]\ * \(#,##0.00\);_([$$-240A]\ * &quot;-&quot;??_);_(@_)"/>
    <numFmt numFmtId="169" formatCode="_-&quot;$&quot;\ * #,##0_-;\-&quot;$&quot;\ * #,##0_-;_-&quot;$&quot;\ * &quot;-&quot;??_-;_-@"/>
    <numFmt numFmtId="170" formatCode="_-&quot;$&quot;* #,##0_-;\-&quot;$&quot;* #,##0_-;_-&quot;$&quot;* &quot;-&quot;_-;_-@"/>
    <numFmt numFmtId="171" formatCode="_-&quot;$&quot;\ * #,##0.00_-;\-&quot;$&quot;\ * #,##0.00_-;_-&quot;$&quot;\ * &quot;-&quot;??_-;_-@"/>
    <numFmt numFmtId="172" formatCode="_(* #,##0_);_(* \(#,##0\);_(* &quot;-&quot;??_);_(@_)"/>
    <numFmt numFmtId="173" formatCode="_ * #,##0_ ;_ * \-#,##0_ ;_ * &quot;-&quot;??_ ;_ @_ "/>
    <numFmt numFmtId="174" formatCode="#,##0_ ;\-#,##0\ "/>
    <numFmt numFmtId="175" formatCode="&quot;$&quot;\ #,##0.00"/>
    <numFmt numFmtId="176" formatCode="_-&quot;$&quot;\ * #,##0_-;\-&quot;$&quot;\ * #,##0_-;_-&quot;$&quot;\ * &quot;-&quot;??_-;_-@_-"/>
    <numFmt numFmtId="177" formatCode="_-[$$-240A]* #,##0_-;\-[$$-240A]* #,##0_-;_-[$$-240A]* &quot;-&quot;?_-;_-@_-"/>
    <numFmt numFmtId="178" formatCode="0.000"/>
  </numFmts>
  <fonts count="22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</font>
    <font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5" fillId="0" borderId="14"/>
    <xf numFmtId="0" fontId="2" fillId="0" borderId="14"/>
    <xf numFmtId="9" fontId="21" fillId="0" borderId="0" applyFont="0" applyFill="0" applyBorder="0" applyAlignment="0" applyProtection="0"/>
  </cellStyleXfs>
  <cellXfs count="309">
    <xf numFmtId="0" fontId="0" fillId="0" borderId="0" xfId="0"/>
    <xf numFmtId="0" fontId="4" fillId="0" borderId="0" xfId="0" applyFont="1"/>
    <xf numFmtId="3" fontId="5" fillId="0" borderId="0" xfId="0" applyNumberFormat="1" applyFont="1"/>
    <xf numFmtId="0" fontId="8" fillId="2" borderId="4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66" fontId="8" fillId="2" borderId="4" xfId="0" applyNumberFormat="1" applyFont="1" applyFill="1" applyBorder="1" applyAlignment="1">
      <alignment horizontal="center" vertical="center" wrapText="1"/>
    </xf>
    <xf numFmtId="167" fontId="8" fillId="2" borderId="4" xfId="0" applyNumberFormat="1" applyFont="1" applyFill="1" applyBorder="1" applyAlignment="1">
      <alignment horizontal="center" vertical="center" wrapText="1"/>
    </xf>
    <xf numFmtId="167" fontId="8" fillId="2" borderId="5" xfId="0" applyNumberFormat="1" applyFont="1" applyFill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8" fillId="0" borderId="0" xfId="0" applyFont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3" fontId="9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8" fontId="9" fillId="0" borderId="4" xfId="0" applyNumberFormat="1" applyFont="1" applyBorder="1"/>
    <xf numFmtId="169" fontId="5" fillId="0" borderId="4" xfId="0" applyNumberFormat="1" applyFont="1" applyBorder="1" applyAlignment="1">
      <alignment vertical="center"/>
    </xf>
    <xf numFmtId="168" fontId="9" fillId="0" borderId="0" xfId="0" applyNumberFormat="1" applyFont="1"/>
    <xf numFmtId="3" fontId="9" fillId="0" borderId="4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68" fontId="9" fillId="0" borderId="4" xfId="0" applyNumberFormat="1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/>
    </xf>
    <xf numFmtId="165" fontId="9" fillId="0" borderId="10" xfId="0" applyNumberFormat="1" applyFont="1" applyBorder="1" applyAlignment="1">
      <alignment horizontal="center" vertical="center"/>
    </xf>
    <xf numFmtId="166" fontId="9" fillId="0" borderId="9" xfId="0" applyNumberFormat="1" applyFont="1" applyBorder="1" applyAlignment="1">
      <alignment horizontal="center" vertical="center"/>
    </xf>
    <xf numFmtId="168" fontId="9" fillId="4" borderId="5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horizontal="left" wrapText="1"/>
    </xf>
    <xf numFmtId="170" fontId="10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71" fontId="11" fillId="4" borderId="4" xfId="0" applyNumberFormat="1" applyFont="1" applyFill="1" applyBorder="1" applyAlignment="1">
      <alignment horizontal="center" vertical="center" wrapText="1"/>
    </xf>
    <xf numFmtId="169" fontId="11" fillId="0" borderId="4" xfId="0" applyNumberFormat="1" applyFont="1" applyBorder="1" applyAlignment="1">
      <alignment vertical="center"/>
    </xf>
    <xf numFmtId="0" fontId="5" fillId="0" borderId="4" xfId="0" applyFont="1" applyBorder="1"/>
    <xf numFmtId="0" fontId="10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/>
    </xf>
    <xf numFmtId="171" fontId="11" fillId="4" borderId="4" xfId="0" applyNumberFormat="1" applyFont="1" applyFill="1" applyBorder="1" applyAlignment="1">
      <alignment horizontal="center" vertical="center"/>
    </xf>
    <xf numFmtId="0" fontId="9" fillId="0" borderId="1" xfId="0" applyFont="1" applyBorder="1"/>
    <xf numFmtId="168" fontId="9" fillId="0" borderId="4" xfId="0" applyNumberFormat="1" applyFont="1" applyBorder="1" applyAlignment="1">
      <alignment vertical="center" wrapText="1"/>
    </xf>
    <xf numFmtId="168" fontId="9" fillId="0" borderId="0" xfId="0" applyNumberFormat="1" applyFont="1" applyAlignment="1">
      <alignment vertical="center" wrapText="1"/>
    </xf>
    <xf numFmtId="0" fontId="5" fillId="0" borderId="0" xfId="0" applyFont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169" fontId="5" fillId="0" borderId="0" xfId="0" applyNumberFormat="1" applyFont="1"/>
    <xf numFmtId="0" fontId="5" fillId="0" borderId="0" xfId="0" applyFont="1" applyAlignment="1">
      <alignment vertical="center" wrapText="1"/>
    </xf>
    <xf numFmtId="0" fontId="11" fillId="4" borderId="4" xfId="0" applyFont="1" applyFill="1" applyBorder="1" applyAlignment="1">
      <alignment horizontal="left" vertical="center" wrapText="1"/>
    </xf>
    <xf numFmtId="172" fontId="11" fillId="4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/>
    </xf>
    <xf numFmtId="173" fontId="11" fillId="0" borderId="4" xfId="0" applyNumberFormat="1" applyFont="1" applyBorder="1" applyAlignment="1">
      <alignment horizontal="right" vertical="center" wrapText="1"/>
    </xf>
    <xf numFmtId="3" fontId="11" fillId="4" borderId="4" xfId="0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2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vertical="center" wrapText="1"/>
    </xf>
    <xf numFmtId="169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169" fontId="5" fillId="0" borderId="4" xfId="0" applyNumberFormat="1" applyFont="1" applyBorder="1"/>
    <xf numFmtId="0" fontId="8" fillId="4" borderId="4" xfId="0" applyFont="1" applyFill="1" applyBorder="1"/>
    <xf numFmtId="0" fontId="8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165" fontId="9" fillId="4" borderId="4" xfId="0" applyNumberFormat="1" applyFont="1" applyFill="1" applyBorder="1" applyAlignment="1">
      <alignment horizontal="center" vertical="center"/>
    </xf>
    <xf numFmtId="166" fontId="9" fillId="4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166" fontId="8" fillId="2" borderId="5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8" xfId="0" applyFont="1" applyFill="1" applyBorder="1"/>
    <xf numFmtId="168" fontId="9" fillId="4" borderId="4" xfId="0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9" fillId="4" borderId="14" xfId="0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6" fontId="9" fillId="4" borderId="14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vertical="center"/>
    </xf>
    <xf numFmtId="166" fontId="5" fillId="0" borderId="0" xfId="0" applyNumberFormat="1" applyFont="1"/>
    <xf numFmtId="166" fontId="9" fillId="0" borderId="12" xfId="0" applyNumberFormat="1" applyFont="1" applyBorder="1" applyAlignment="1">
      <alignment vertical="center"/>
    </xf>
    <xf numFmtId="168" fontId="9" fillId="0" borderId="12" xfId="0" applyNumberFormat="1" applyFont="1" applyBorder="1" applyAlignment="1">
      <alignment vertical="center"/>
    </xf>
    <xf numFmtId="166" fontId="8" fillId="0" borderId="4" xfId="0" applyNumberFormat="1" applyFont="1" applyBorder="1"/>
    <xf numFmtId="166" fontId="6" fillId="0" borderId="4" xfId="0" applyNumberFormat="1" applyFont="1" applyBorder="1"/>
    <xf numFmtId="170" fontId="10" fillId="4" borderId="4" xfId="0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169" fontId="13" fillId="0" borderId="4" xfId="0" applyNumberFormat="1" applyFont="1" applyBorder="1" applyAlignment="1">
      <alignment vertical="center"/>
    </xf>
    <xf numFmtId="0" fontId="8" fillId="4" borderId="14" xfId="0" applyFont="1" applyFill="1" applyBorder="1"/>
    <xf numFmtId="0" fontId="9" fillId="4" borderId="14" xfId="0" applyFont="1" applyFill="1" applyBorder="1" applyAlignment="1">
      <alignment horizontal="center"/>
    </xf>
    <xf numFmtId="165" fontId="9" fillId="4" borderId="14" xfId="0" applyNumberFormat="1" applyFont="1" applyFill="1" applyBorder="1" applyAlignment="1">
      <alignment horizontal="center"/>
    </xf>
    <xf numFmtId="166" fontId="9" fillId="4" borderId="14" xfId="0" applyNumberFormat="1" applyFont="1" applyFill="1" applyBorder="1" applyAlignment="1">
      <alignment horizontal="center"/>
    </xf>
    <xf numFmtId="0" fontId="9" fillId="4" borderId="14" xfId="0" applyFont="1" applyFill="1" applyBorder="1"/>
    <xf numFmtId="166" fontId="9" fillId="0" borderId="4" xfId="0" applyNumberFormat="1" applyFont="1" applyBorder="1" applyAlignment="1">
      <alignment vertical="center"/>
    </xf>
    <xf numFmtId="168" fontId="9" fillId="0" borderId="4" xfId="0" applyNumberFormat="1" applyFont="1" applyBorder="1" applyAlignment="1">
      <alignment horizontal="center" vertical="center" wrapText="1"/>
    </xf>
    <xf numFmtId="173" fontId="11" fillId="0" borderId="4" xfId="0" applyNumberFormat="1" applyFont="1" applyBorder="1" applyAlignment="1">
      <alignment horizontal="center" vertical="center" wrapText="1"/>
    </xf>
    <xf numFmtId="174" fontId="13" fillId="3" borderId="4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173" fontId="13" fillId="3" borderId="4" xfId="0" applyNumberFormat="1" applyFont="1" applyFill="1" applyBorder="1" applyAlignment="1">
      <alignment vertical="center"/>
    </xf>
    <xf numFmtId="169" fontId="5" fillId="0" borderId="0" xfId="0" applyNumberFormat="1" applyFont="1" applyAlignment="1">
      <alignment horizontal="left" vertical="center"/>
    </xf>
    <xf numFmtId="170" fontId="8" fillId="3" borderId="12" xfId="0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171" fontId="13" fillId="3" borderId="18" xfId="0" applyNumberFormat="1" applyFont="1" applyFill="1" applyBorder="1" applyAlignment="1">
      <alignment horizontal="center" vertical="center" wrapText="1"/>
    </xf>
    <xf numFmtId="171" fontId="13" fillId="3" borderId="12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/>
    <xf numFmtId="0" fontId="5" fillId="3" borderId="20" xfId="0" applyFont="1" applyFill="1" applyBorder="1"/>
    <xf numFmtId="0" fontId="5" fillId="3" borderId="21" xfId="0" applyFont="1" applyFill="1" applyBorder="1"/>
    <xf numFmtId="0" fontId="5" fillId="3" borderId="18" xfId="0" applyFont="1" applyFill="1" applyBorder="1"/>
    <xf numFmtId="0" fontId="5" fillId="3" borderId="23" xfId="0" applyFont="1" applyFill="1" applyBorder="1"/>
    <xf numFmtId="0" fontId="5" fillId="3" borderId="24" xfId="0" applyFont="1" applyFill="1" applyBorder="1"/>
    <xf numFmtId="164" fontId="0" fillId="0" borderId="22" xfId="1" applyFont="1" applyBorder="1"/>
    <xf numFmtId="169" fontId="5" fillId="0" borderId="22" xfId="0" applyNumberFormat="1" applyFont="1" applyBorder="1" applyAlignment="1">
      <alignment vertical="center"/>
    </xf>
    <xf numFmtId="168" fontId="9" fillId="0" borderId="9" xfId="0" applyNumberFormat="1" applyFont="1" applyBorder="1" applyAlignment="1">
      <alignment vertical="center"/>
    </xf>
    <xf numFmtId="169" fontId="0" fillId="0" borderId="0" xfId="0" applyNumberFormat="1"/>
    <xf numFmtId="175" fontId="9" fillId="0" borderId="22" xfId="2" applyNumberFormat="1" applyFont="1" applyBorder="1" applyAlignment="1">
      <alignment horizontal="center"/>
    </xf>
    <xf numFmtId="175" fontId="9" fillId="0" borderId="22" xfId="2" applyNumberFormat="1" applyFont="1" applyBorder="1" applyAlignment="1">
      <alignment horizontal="right"/>
    </xf>
    <xf numFmtId="0" fontId="10" fillId="4" borderId="4" xfId="0" applyFont="1" applyFill="1" applyBorder="1" applyAlignment="1">
      <alignment horizontal="left" vertical="top" wrapText="1"/>
    </xf>
    <xf numFmtId="0" fontId="9" fillId="0" borderId="25" xfId="2" applyFont="1" applyBorder="1"/>
    <xf numFmtId="0" fontId="9" fillId="0" borderId="19" xfId="2" applyFont="1" applyBorder="1" applyAlignment="1">
      <alignment horizontal="center"/>
    </xf>
    <xf numFmtId="3" fontId="9" fillId="0" borderId="22" xfId="2" applyNumberFormat="1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3" fontId="9" fillId="6" borderId="22" xfId="2" applyNumberFormat="1" applyFont="1" applyFill="1" applyBorder="1" applyAlignment="1">
      <alignment horizontal="center"/>
    </xf>
    <xf numFmtId="169" fontId="7" fillId="0" borderId="4" xfId="0" applyNumberFormat="1" applyFont="1" applyBorder="1" applyAlignment="1">
      <alignment vertical="center"/>
    </xf>
    <xf numFmtId="0" fontId="3" fillId="0" borderId="0" xfId="0" applyFont="1"/>
    <xf numFmtId="0" fontId="3" fillId="0" borderId="22" xfId="0" applyFont="1" applyBorder="1"/>
    <xf numFmtId="169" fontId="0" fillId="0" borderId="22" xfId="0" applyNumberFormat="1" applyBorder="1"/>
    <xf numFmtId="1" fontId="5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69" fontId="3" fillId="0" borderId="22" xfId="0" applyNumberFormat="1" applyFont="1" applyBorder="1"/>
    <xf numFmtId="166" fontId="0" fillId="0" borderId="0" xfId="0" applyNumberFormat="1"/>
    <xf numFmtId="165" fontId="9" fillId="0" borderId="2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176" fontId="11" fillId="0" borderId="4" xfId="1" applyNumberFormat="1" applyFont="1" applyBorder="1" applyAlignment="1">
      <alignment horizontal="right" vertical="center" wrapText="1"/>
    </xf>
    <xf numFmtId="176" fontId="11" fillId="4" borderId="4" xfId="1" applyNumberFormat="1" applyFont="1" applyFill="1" applyBorder="1" applyAlignment="1">
      <alignment horizontal="right" vertical="center"/>
    </xf>
    <xf numFmtId="176" fontId="0" fillId="0" borderId="0" xfId="1" applyNumberFormat="1" applyFont="1"/>
    <xf numFmtId="169" fontId="12" fillId="0" borderId="4" xfId="0" applyNumberFormat="1" applyFont="1" applyBorder="1" applyAlignment="1">
      <alignment vertical="center"/>
    </xf>
    <xf numFmtId="0" fontId="2" fillId="0" borderId="14" xfId="3"/>
    <xf numFmtId="0" fontId="17" fillId="9" borderId="37" xfId="3" applyFont="1" applyFill="1" applyBorder="1" applyAlignment="1">
      <alignment horizontal="center" vertical="center" wrapText="1"/>
    </xf>
    <xf numFmtId="0" fontId="17" fillId="9" borderId="34" xfId="3" applyFont="1" applyFill="1" applyBorder="1" applyAlignment="1">
      <alignment horizontal="center" vertical="center" wrapText="1"/>
    </xf>
    <xf numFmtId="0" fontId="18" fillId="0" borderId="22" xfId="3" applyFont="1" applyBorder="1" applyAlignment="1">
      <alignment horizontal="center" vertical="center" wrapText="1"/>
    </xf>
    <xf numFmtId="177" fontId="19" fillId="0" borderId="22" xfId="3" applyNumberFormat="1" applyFont="1" applyBorder="1" applyAlignment="1">
      <alignment horizontal="center" vertical="center" wrapText="1"/>
    </xf>
    <xf numFmtId="177" fontId="18" fillId="0" borderId="38" xfId="3" applyNumberFormat="1" applyFont="1" applyBorder="1" applyAlignment="1">
      <alignment horizontal="center" vertical="center" wrapText="1"/>
    </xf>
    <xf numFmtId="177" fontId="18" fillId="0" borderId="22" xfId="3" applyNumberFormat="1" applyFont="1" applyBorder="1" applyAlignment="1">
      <alignment horizontal="center" vertical="center" wrapText="1"/>
    </xf>
    <xf numFmtId="0" fontId="2" fillId="0" borderId="22" xfId="3" applyBorder="1"/>
    <xf numFmtId="0" fontId="18" fillId="0" borderId="39" xfId="3" applyFont="1" applyBorder="1" applyAlignment="1">
      <alignment horizontal="center" vertical="center" wrapText="1"/>
    </xf>
    <xf numFmtId="177" fontId="19" fillId="0" borderId="38" xfId="3" applyNumberFormat="1" applyFont="1" applyBorder="1" applyAlignment="1">
      <alignment horizontal="center" vertical="center" wrapText="1"/>
    </xf>
    <xf numFmtId="0" fontId="18" fillId="10" borderId="22" xfId="3" applyFont="1" applyFill="1" applyBorder="1" applyAlignment="1">
      <alignment horizontal="center" vertical="center" wrapText="1"/>
    </xf>
    <xf numFmtId="0" fontId="2" fillId="10" borderId="22" xfId="3" applyFill="1" applyBorder="1"/>
    <xf numFmtId="0" fontId="18" fillId="10" borderId="39" xfId="3" applyFont="1" applyFill="1" applyBorder="1" applyAlignment="1">
      <alignment horizontal="center" vertical="center" wrapText="1"/>
    </xf>
    <xf numFmtId="177" fontId="19" fillId="10" borderId="22" xfId="3" applyNumberFormat="1" applyFont="1" applyFill="1" applyBorder="1" applyAlignment="1">
      <alignment horizontal="center" vertical="center" wrapText="1"/>
    </xf>
    <xf numFmtId="177" fontId="18" fillId="10" borderId="22" xfId="3" applyNumberFormat="1" applyFont="1" applyFill="1" applyBorder="1" applyAlignment="1">
      <alignment horizontal="center" vertical="center" wrapText="1"/>
    </xf>
    <xf numFmtId="177" fontId="18" fillId="10" borderId="38" xfId="3" applyNumberFormat="1" applyFont="1" applyFill="1" applyBorder="1" applyAlignment="1">
      <alignment horizontal="center" vertical="center" wrapText="1"/>
    </xf>
    <xf numFmtId="0" fontId="2" fillId="0" borderId="14" xfId="3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2" fillId="0" borderId="14" xfId="3" applyAlignment="1">
      <alignment wrapText="1"/>
    </xf>
    <xf numFmtId="0" fontId="20" fillId="0" borderId="14" xfId="3" applyFont="1" applyAlignment="1">
      <alignment wrapText="1"/>
    </xf>
    <xf numFmtId="0" fontId="5" fillId="0" borderId="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center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5" fillId="0" borderId="52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vertical="center" wrapText="1"/>
    </xf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/>
    </xf>
    <xf numFmtId="0" fontId="17" fillId="9" borderId="33" xfId="3" applyFont="1" applyFill="1" applyBorder="1" applyAlignment="1">
      <alignment horizontal="center" vertical="center" wrapText="1"/>
    </xf>
    <xf numFmtId="0" fontId="17" fillId="9" borderId="36" xfId="3" applyFont="1" applyFill="1" applyBorder="1" applyAlignment="1">
      <alignment horizontal="center" vertical="center" wrapText="1"/>
    </xf>
    <xf numFmtId="177" fontId="18" fillId="0" borderId="40" xfId="3" applyNumberFormat="1" applyFont="1" applyBorder="1" applyAlignment="1">
      <alignment horizontal="center" vertical="center" wrapText="1"/>
    </xf>
    <xf numFmtId="0" fontId="18" fillId="0" borderId="41" xfId="3" applyFont="1" applyBorder="1" applyAlignment="1">
      <alignment horizontal="center" vertical="center" wrapText="1"/>
    </xf>
    <xf numFmtId="177" fontId="18" fillId="0" borderId="41" xfId="3" applyNumberFormat="1" applyFont="1" applyBorder="1" applyAlignment="1">
      <alignment horizontal="center" vertical="center" wrapText="1"/>
    </xf>
    <xf numFmtId="0" fontId="18" fillId="10" borderId="41" xfId="3" applyFont="1" applyFill="1" applyBorder="1" applyAlignment="1">
      <alignment horizontal="center" vertical="center" wrapText="1"/>
    </xf>
    <xf numFmtId="177" fontId="18" fillId="10" borderId="41" xfId="3" applyNumberFormat="1" applyFont="1" applyFill="1" applyBorder="1" applyAlignment="1">
      <alignment horizontal="center" vertical="center" wrapText="1"/>
    </xf>
    <xf numFmtId="0" fontId="18" fillId="0" borderId="42" xfId="3" applyFont="1" applyBorder="1" applyAlignment="1">
      <alignment horizontal="center" vertical="center" wrapText="1"/>
    </xf>
    <xf numFmtId="169" fontId="5" fillId="0" borderId="0" xfId="0" applyNumberFormat="1" applyFont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0" fontId="5" fillId="0" borderId="4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176" fontId="5" fillId="0" borderId="4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Fill="1" applyBorder="1" applyAlignment="1">
      <alignment horizontal="right" vertical="center"/>
    </xf>
    <xf numFmtId="176" fontId="5" fillId="0" borderId="12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4" xfId="1" applyNumberFormat="1" applyFont="1" applyBorder="1"/>
    <xf numFmtId="176" fontId="0" fillId="0" borderId="0" xfId="0" applyNumberFormat="1"/>
    <xf numFmtId="176" fontId="5" fillId="0" borderId="0" xfId="0" applyNumberFormat="1" applyFont="1" applyAlignment="1">
      <alignment horizontal="right" vertical="center"/>
    </xf>
    <xf numFmtId="9" fontId="0" fillId="0" borderId="0" xfId="4" applyFont="1"/>
    <xf numFmtId="0" fontId="5" fillId="0" borderId="22" xfId="0" applyFont="1" applyBorder="1"/>
    <xf numFmtId="166" fontId="8" fillId="0" borderId="22" xfId="0" applyNumberFormat="1" applyFont="1" applyBorder="1"/>
    <xf numFmtId="0" fontId="5" fillId="0" borderId="57" xfId="0" applyFont="1" applyBorder="1" applyAlignment="1">
      <alignment horizontal="center"/>
    </xf>
    <xf numFmtId="3" fontId="0" fillId="0" borderId="0" xfId="0" applyNumberFormat="1"/>
    <xf numFmtId="164" fontId="0" fillId="0" borderId="22" xfId="1" applyFont="1" applyFill="1" applyBorder="1"/>
    <xf numFmtId="0" fontId="1" fillId="0" borderId="0" xfId="0" applyFont="1"/>
    <xf numFmtId="1" fontId="1" fillId="0" borderId="0" xfId="0" applyNumberFormat="1" applyFont="1"/>
    <xf numFmtId="176" fontId="5" fillId="0" borderId="6" xfId="1" applyNumberFormat="1" applyFont="1" applyBorder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68" fontId="8" fillId="0" borderId="4" xfId="0" applyNumberFormat="1" applyFont="1" applyBorder="1" applyAlignment="1">
      <alignment vertical="center"/>
    </xf>
    <xf numFmtId="3" fontId="8" fillId="2" borderId="12" xfId="0" applyNumberFormat="1" applyFont="1" applyFill="1" applyBorder="1" applyAlignment="1">
      <alignment horizontal="center" vertical="center" wrapText="1"/>
    </xf>
    <xf numFmtId="167" fontId="8" fillId="2" borderId="17" xfId="0" applyNumberFormat="1" applyFont="1" applyFill="1" applyBorder="1" applyAlignment="1">
      <alignment horizontal="center" vertical="center" wrapText="1"/>
    </xf>
    <xf numFmtId="165" fontId="8" fillId="2" borderId="12" xfId="0" applyNumberFormat="1" applyFont="1" applyFill="1" applyBorder="1" applyAlignment="1">
      <alignment horizontal="center" vertical="center" wrapText="1"/>
    </xf>
    <xf numFmtId="166" fontId="8" fillId="2" borderId="12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3" fillId="3" borderId="52" xfId="0" applyFont="1" applyFill="1" applyBorder="1" applyAlignment="1">
      <alignment horizontal="center" vertical="center"/>
    </xf>
    <xf numFmtId="171" fontId="13" fillId="3" borderId="53" xfId="0" applyNumberFormat="1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176" fontId="5" fillId="0" borderId="49" xfId="1" applyNumberFormat="1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176" fontId="5" fillId="0" borderId="51" xfId="1" applyNumberFormat="1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176" fontId="5" fillId="0" borderId="53" xfId="1" applyNumberFormat="1" applyFont="1" applyBorder="1" applyAlignment="1">
      <alignment vertical="center"/>
    </xf>
    <xf numFmtId="176" fontId="5" fillId="0" borderId="49" xfId="1" applyNumberFormat="1" applyFont="1" applyBorder="1" applyAlignment="1">
      <alignment horizontal="center" vertical="center"/>
    </xf>
    <xf numFmtId="176" fontId="6" fillId="3" borderId="57" xfId="1" applyNumberFormat="1" applyFont="1" applyFill="1" applyBorder="1"/>
    <xf numFmtId="176" fontId="6" fillId="3" borderId="56" xfId="1" applyNumberFormat="1" applyFont="1" applyFill="1" applyBorder="1"/>
    <xf numFmtId="0" fontId="6" fillId="0" borderId="58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28" xfId="0" applyFont="1" applyBorder="1"/>
    <xf numFmtId="0" fontId="7" fillId="0" borderId="59" xfId="0" applyFont="1" applyBorder="1"/>
    <xf numFmtId="0" fontId="6" fillId="3" borderId="6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7" fillId="0" borderId="64" xfId="0" applyFont="1" applyBorder="1"/>
    <xf numFmtId="0" fontId="7" fillId="0" borderId="65" xfId="0" applyFont="1" applyBorder="1"/>
    <xf numFmtId="0" fontId="5" fillId="11" borderId="38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6" fillId="7" borderId="27" xfId="3" applyFont="1" applyFill="1" applyBorder="1" applyAlignment="1">
      <alignment horizontal="center" vertical="center"/>
    </xf>
    <xf numFmtId="0" fontId="17" fillId="8" borderId="28" xfId="3" applyFont="1" applyFill="1" applyBorder="1" applyAlignment="1">
      <alignment horizontal="center" vertical="center" wrapText="1"/>
    </xf>
    <xf numFmtId="0" fontId="17" fillId="8" borderId="34" xfId="3" applyFont="1" applyFill="1" applyBorder="1" applyAlignment="1">
      <alignment horizontal="center" vertical="center" wrapText="1"/>
    </xf>
    <xf numFmtId="0" fontId="17" fillId="8" borderId="29" xfId="3" applyFont="1" applyFill="1" applyBorder="1" applyAlignment="1">
      <alignment horizontal="center" vertical="center" wrapText="1"/>
    </xf>
    <xf numFmtId="0" fontId="17" fillId="8" borderId="35" xfId="3" applyFont="1" applyFill="1" applyBorder="1" applyAlignment="1">
      <alignment horizontal="center" vertical="center" wrapText="1"/>
    </xf>
    <xf numFmtId="0" fontId="17" fillId="9" borderId="30" xfId="3" applyFont="1" applyFill="1" applyBorder="1" applyAlignment="1">
      <alignment horizontal="center" vertical="center" wrapText="1"/>
    </xf>
    <xf numFmtId="0" fontId="17" fillId="9" borderId="31" xfId="3" applyFont="1" applyFill="1" applyBorder="1" applyAlignment="1">
      <alignment horizontal="center" vertical="center" wrapText="1"/>
    </xf>
    <xf numFmtId="0" fontId="17" fillId="9" borderId="32" xfId="3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1" xfId="0" applyBorder="1" applyAlignment="1">
      <alignment horizontal="center"/>
    </xf>
    <xf numFmtId="166" fontId="8" fillId="2" borderId="9" xfId="0" applyNumberFormat="1" applyFont="1" applyFill="1" applyBorder="1" applyAlignment="1">
      <alignment horizontal="center" vertical="center" wrapText="1"/>
    </xf>
    <xf numFmtId="166" fontId="8" fillId="2" borderId="26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23" xfId="0" applyFont="1" applyBorder="1"/>
    <xf numFmtId="0" fontId="7" fillId="0" borderId="24" xfId="0" applyFont="1" applyBorder="1"/>
    <xf numFmtId="0" fontId="6" fillId="0" borderId="6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169" fontId="5" fillId="0" borderId="9" xfId="0" applyNumberFormat="1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166" fontId="9" fillId="0" borderId="9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167" fontId="8" fillId="2" borderId="9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7" fillId="0" borderId="18" xfId="0" applyFont="1" applyBorder="1"/>
    <xf numFmtId="0" fontId="9" fillId="0" borderId="1" xfId="0" applyFont="1" applyBorder="1" applyAlignment="1">
      <alignment horizontal="center"/>
    </xf>
    <xf numFmtId="0" fontId="7" fillId="0" borderId="17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6" xfId="0" applyFont="1" applyBorder="1"/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7" fillId="0" borderId="22" xfId="0" applyFont="1" applyBorder="1"/>
    <xf numFmtId="0" fontId="8" fillId="3" borderId="19" xfId="0" applyFont="1" applyFill="1" applyBorder="1" applyAlignment="1">
      <alignment horizontal="center"/>
    </xf>
    <xf numFmtId="0" fontId="7" fillId="0" borderId="20" xfId="0" applyFont="1" applyBorder="1"/>
    <xf numFmtId="0" fontId="7" fillId="0" borderId="21" xfId="0" applyFont="1" applyBorder="1"/>
  </cellXfs>
  <cellStyles count="5">
    <cellStyle name="Moneda" xfId="1" builtinId="4"/>
    <cellStyle name="Normal" xfId="0" builtinId="0"/>
    <cellStyle name="Normal 2" xfId="3" xr:uid="{24DF0B61-FCBF-4A95-AA5C-A515897D6189}"/>
    <cellStyle name="Normal 5 3 2" xfId="2" xr:uid="{391AB860-8C6E-4584-84D1-FE3016B1E297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6"/>
  <sheetViews>
    <sheetView topLeftCell="B5" zoomScaleNormal="100" workbookViewId="0">
      <selection activeCell="F9" sqref="F9"/>
    </sheetView>
  </sheetViews>
  <sheetFormatPr baseColWidth="10" defaultColWidth="12.6640625" defaultRowHeight="15" customHeight="1" x14ac:dyDescent="0.2"/>
  <cols>
    <col min="1" max="1" width="7" customWidth="1"/>
    <col min="2" max="2" width="87.5" style="168" customWidth="1"/>
    <col min="3" max="3" width="19" customWidth="1"/>
    <col min="4" max="4" width="11.6640625" customWidth="1"/>
    <col min="5" max="5" width="21.33203125" customWidth="1"/>
    <col min="6" max="6" width="21.6640625" customWidth="1"/>
    <col min="7" max="7" width="31.33203125" customWidth="1"/>
    <col min="8" max="8" width="34.33203125" customWidth="1"/>
    <col min="9" max="9" width="30.33203125" customWidth="1"/>
    <col min="10" max="10" width="29.33203125" customWidth="1"/>
    <col min="11" max="19" width="10.6640625" customWidth="1"/>
  </cols>
  <sheetData>
    <row r="1" spans="1:10" x14ac:dyDescent="0.2">
      <c r="A1" s="243" t="s">
        <v>188</v>
      </c>
      <c r="B1" s="244"/>
      <c r="C1" s="245"/>
      <c r="D1" s="245"/>
      <c r="E1" s="245"/>
      <c r="F1" s="245"/>
      <c r="G1" s="245"/>
      <c r="H1" s="245"/>
      <c r="I1" s="245"/>
      <c r="J1" s="246"/>
    </row>
    <row r="2" spans="1:10" ht="35.5" customHeight="1" x14ac:dyDescent="0.2">
      <c r="A2" s="254" t="s">
        <v>236</v>
      </c>
      <c r="B2" s="255"/>
      <c r="C2" s="255"/>
      <c r="D2" s="255"/>
      <c r="E2" s="255"/>
      <c r="F2" s="255"/>
      <c r="G2" s="255"/>
      <c r="H2" s="255"/>
      <c r="I2" s="255"/>
      <c r="J2" s="256"/>
    </row>
    <row r="3" spans="1:10" ht="28" x14ac:dyDescent="0.2">
      <c r="A3" s="232" t="s">
        <v>133</v>
      </c>
      <c r="B3" s="167" t="s">
        <v>216</v>
      </c>
      <c r="C3" s="113" t="s">
        <v>134</v>
      </c>
      <c r="D3" s="114" t="s">
        <v>135</v>
      </c>
      <c r="E3" s="115" t="s">
        <v>251</v>
      </c>
      <c r="F3" s="114" t="s">
        <v>250</v>
      </c>
      <c r="G3" s="116" t="s">
        <v>252</v>
      </c>
      <c r="H3" s="116" t="s">
        <v>248</v>
      </c>
      <c r="I3" s="116" t="s">
        <v>249</v>
      </c>
      <c r="J3" s="233" t="s">
        <v>136</v>
      </c>
    </row>
    <row r="4" spans="1:10" x14ac:dyDescent="0.2">
      <c r="A4" s="251" t="s">
        <v>231</v>
      </c>
      <c r="B4" s="252"/>
      <c r="C4" s="252"/>
      <c r="D4" s="252"/>
      <c r="E4" s="252"/>
      <c r="F4" s="252"/>
      <c r="G4" s="252"/>
      <c r="H4" s="252"/>
      <c r="I4" s="252"/>
      <c r="J4" s="253"/>
    </row>
    <row r="5" spans="1:10" ht="57" customHeight="1" x14ac:dyDescent="0.2">
      <c r="A5" s="234" t="s">
        <v>238</v>
      </c>
      <c r="B5" s="201" t="s">
        <v>234</v>
      </c>
      <c r="C5" s="202" t="s">
        <v>137</v>
      </c>
      <c r="D5" s="47">
        <v>80</v>
      </c>
      <c r="E5" s="224">
        <f ca="1">ROUND('1.1.1 ESAL_PLANTULAS'!E22,0)+ROUND('1.1.2 CORNARE_ESTABLECIMIENTO'!E18,0)</f>
        <v>3761303</v>
      </c>
      <c r="F5" s="205">
        <f ca="1">D5*E5</f>
        <v>300904240</v>
      </c>
      <c r="G5" s="205">
        <f ca="1">'1.1.1 ESAL_PLANTULAS'!E23</f>
        <v>198576000</v>
      </c>
      <c r="H5" s="205"/>
      <c r="I5" s="205">
        <f ca="1">'1.1.2 CORNARE_ESTABLECIMIENTO'!E19</f>
        <v>102328200</v>
      </c>
      <c r="J5" s="235">
        <f t="shared" ref="J5:J17" ca="1" si="0">G5+H5+I5</f>
        <v>300904200</v>
      </c>
    </row>
    <row r="6" spans="1:10" ht="59" customHeight="1" x14ac:dyDescent="0.2">
      <c r="A6" s="234" t="s">
        <v>239</v>
      </c>
      <c r="B6" s="201" t="s">
        <v>232</v>
      </c>
      <c r="C6" s="47" t="s">
        <v>139</v>
      </c>
      <c r="D6" s="47">
        <v>80</v>
      </c>
      <c r="E6" s="206">
        <f>ROUND('1.2 CORNARE_BIOFABRICA'!E32,0)</f>
        <v>1443601</v>
      </c>
      <c r="F6" s="205">
        <f>D6*E6</f>
        <v>115488080</v>
      </c>
      <c r="G6" s="205"/>
      <c r="H6" s="205"/>
      <c r="I6" s="205">
        <f t="shared" ref="I6:I7" si="1">F6</f>
        <v>115488080</v>
      </c>
      <c r="J6" s="235">
        <f t="shared" si="0"/>
        <v>115488080</v>
      </c>
    </row>
    <row r="7" spans="1:10" ht="38" customHeight="1" x14ac:dyDescent="0.2">
      <c r="A7" s="234" t="s">
        <v>240</v>
      </c>
      <c r="B7" s="201" t="s">
        <v>235</v>
      </c>
      <c r="C7" s="47" t="s">
        <v>137</v>
      </c>
      <c r="D7" s="47">
        <v>80</v>
      </c>
      <c r="E7" s="206">
        <f>ROUND('1.3 CORNARE_FORTALECIMIENTO'!E23,0)</f>
        <v>269550</v>
      </c>
      <c r="F7" s="205">
        <f t="shared" ref="F7" si="2">D7*E7</f>
        <v>21564000</v>
      </c>
      <c r="G7" s="205"/>
      <c r="H7" s="205"/>
      <c r="I7" s="205">
        <f t="shared" si="1"/>
        <v>21564000</v>
      </c>
      <c r="J7" s="235">
        <f t="shared" si="0"/>
        <v>21564000</v>
      </c>
    </row>
    <row r="8" spans="1:10" ht="15.5" customHeight="1" x14ac:dyDescent="0.2">
      <c r="A8" s="251" t="s">
        <v>229</v>
      </c>
      <c r="B8" s="252"/>
      <c r="C8" s="252"/>
      <c r="D8" s="252"/>
      <c r="E8" s="252"/>
      <c r="F8" s="252"/>
      <c r="G8" s="252"/>
      <c r="H8" s="252"/>
      <c r="I8" s="252"/>
      <c r="J8" s="253"/>
    </row>
    <row r="9" spans="1:10" ht="28.25" customHeight="1" x14ac:dyDescent="0.2">
      <c r="A9" s="234" t="s">
        <v>138</v>
      </c>
      <c r="B9" s="145" t="s">
        <v>223</v>
      </c>
      <c r="C9" s="70" t="s">
        <v>141</v>
      </c>
      <c r="D9" s="70">
        <v>80</v>
      </c>
      <c r="E9" s="206">
        <f ca="1">ROUND('2.1 ESAL_COMPOSTERA'!E28,0)</f>
        <v>4130235</v>
      </c>
      <c r="F9" s="205">
        <f ca="1">D9*E9</f>
        <v>330418800</v>
      </c>
      <c r="G9" s="205"/>
      <c r="H9" s="205">
        <f t="shared" ref="H9" ca="1" si="3">F9</f>
        <v>330418800</v>
      </c>
      <c r="I9" s="205"/>
      <c r="J9" s="235">
        <f t="shared" ca="1" si="0"/>
        <v>330418800</v>
      </c>
    </row>
    <row r="10" spans="1:10" ht="66.5" customHeight="1" x14ac:dyDescent="0.2">
      <c r="A10" s="236" t="s">
        <v>140</v>
      </c>
      <c r="B10" s="200" t="s">
        <v>233</v>
      </c>
      <c r="C10" s="203" t="s">
        <v>142</v>
      </c>
      <c r="D10" s="203">
        <v>80</v>
      </c>
      <c r="E10" s="207">
        <f ca="1">ROUND('2.2 ESAL_STAM'!E33,0)</f>
        <v>3902848</v>
      </c>
      <c r="F10" s="208">
        <f ca="1">D10*E10</f>
        <v>312227840</v>
      </c>
      <c r="G10" s="208"/>
      <c r="H10" s="209">
        <f ca="1">F10</f>
        <v>312227840</v>
      </c>
      <c r="I10" s="208"/>
      <c r="J10" s="237">
        <f t="shared" ca="1" si="0"/>
        <v>312227840</v>
      </c>
    </row>
    <row r="11" spans="1:10" x14ac:dyDescent="0.2">
      <c r="A11" s="251" t="s">
        <v>227</v>
      </c>
      <c r="B11" s="252"/>
      <c r="C11" s="252"/>
      <c r="D11" s="252"/>
      <c r="E11" s="252"/>
      <c r="F11" s="252"/>
      <c r="G11" s="252"/>
      <c r="H11" s="252"/>
      <c r="I11" s="252"/>
      <c r="J11" s="253"/>
    </row>
    <row r="12" spans="1:10" ht="27" customHeight="1" x14ac:dyDescent="0.2">
      <c r="A12" s="238" t="s">
        <v>241</v>
      </c>
      <c r="B12" s="204" t="s">
        <v>246</v>
      </c>
      <c r="C12" s="169" t="s">
        <v>144</v>
      </c>
      <c r="D12" s="169">
        <v>12</v>
      </c>
      <c r="E12" s="210">
        <f ca="1">ROUND('3. COMPONENTE TÉCNICO'!D13,0)</f>
        <v>5200714</v>
      </c>
      <c r="F12" s="211">
        <f t="shared" ref="F12:F15" ca="1" si="4">E12*D12</f>
        <v>62408568</v>
      </c>
      <c r="G12" s="211"/>
      <c r="H12" s="211"/>
      <c r="I12" s="211">
        <f t="shared" ref="I12:I17" ca="1" si="5">F12</f>
        <v>62408568</v>
      </c>
      <c r="J12" s="239">
        <f t="shared" ca="1" si="0"/>
        <v>62408568</v>
      </c>
    </row>
    <row r="13" spans="1:10" ht="28.25" customHeight="1" x14ac:dyDescent="0.2">
      <c r="A13" s="234" t="s">
        <v>242</v>
      </c>
      <c r="B13" s="64" t="s">
        <v>247</v>
      </c>
      <c r="C13" s="70" t="s">
        <v>144</v>
      </c>
      <c r="D13" s="47">
        <v>12</v>
      </c>
      <c r="E13" s="212">
        <f ca="1">ROUND('3. COMPONENTE TÉCNICO'!D14,0)</f>
        <v>7214418</v>
      </c>
      <c r="F13" s="205">
        <f ca="1">E13*D13</f>
        <v>86573016</v>
      </c>
      <c r="G13" s="205"/>
      <c r="H13" s="213"/>
      <c r="I13" s="205">
        <f t="shared" ca="1" si="5"/>
        <v>86573016</v>
      </c>
      <c r="J13" s="235">
        <f t="shared" ca="1" si="0"/>
        <v>86573016</v>
      </c>
    </row>
    <row r="14" spans="1:10" x14ac:dyDescent="0.2">
      <c r="A14" s="251" t="s">
        <v>230</v>
      </c>
      <c r="B14" s="252"/>
      <c r="C14" s="252"/>
      <c r="D14" s="252"/>
      <c r="E14" s="252"/>
      <c r="F14" s="252"/>
      <c r="G14" s="252"/>
      <c r="H14" s="252"/>
      <c r="I14" s="252"/>
      <c r="J14" s="253"/>
    </row>
    <row r="15" spans="1:10" ht="40.25" customHeight="1" x14ac:dyDescent="0.2">
      <c r="A15" s="234" t="s">
        <v>243</v>
      </c>
      <c r="B15" s="46" t="s">
        <v>220</v>
      </c>
      <c r="C15" s="47" t="s">
        <v>237</v>
      </c>
      <c r="D15" s="47">
        <v>12</v>
      </c>
      <c r="E15" s="212">
        <f ca="1">'4. CAPACITACIONES'!E9/12</f>
        <v>942890</v>
      </c>
      <c r="F15" s="206">
        <f t="shared" ca="1" si="4"/>
        <v>11314680</v>
      </c>
      <c r="G15" s="206"/>
      <c r="H15" s="206"/>
      <c r="I15" s="206">
        <f t="shared" ca="1" si="5"/>
        <v>11314680</v>
      </c>
      <c r="J15" s="235">
        <f t="shared" ca="1" si="0"/>
        <v>11314680</v>
      </c>
    </row>
    <row r="16" spans="1:10" x14ac:dyDescent="0.2">
      <c r="A16" s="251" t="s">
        <v>228</v>
      </c>
      <c r="B16" s="252"/>
      <c r="C16" s="252"/>
      <c r="D16" s="252"/>
      <c r="E16" s="252"/>
      <c r="F16" s="252"/>
      <c r="G16" s="252"/>
      <c r="H16" s="252"/>
      <c r="I16" s="252"/>
      <c r="J16" s="253"/>
    </row>
    <row r="17" spans="1:10" ht="32" x14ac:dyDescent="0.2">
      <c r="A17" s="234" t="s">
        <v>143</v>
      </c>
      <c r="B17" s="145" t="s">
        <v>224</v>
      </c>
      <c r="C17" s="47" t="s">
        <v>257</v>
      </c>
      <c r="D17" s="47">
        <v>80</v>
      </c>
      <c r="E17" s="212">
        <f ca="1">ROUND('5. DISTINTIVO CAFETEROS'!D5,0)</f>
        <v>28401</v>
      </c>
      <c r="F17" s="212">
        <f ca="1">E17*D17</f>
        <v>2272080</v>
      </c>
      <c r="G17" s="212"/>
      <c r="H17" s="212"/>
      <c r="I17" s="212">
        <f t="shared" ca="1" si="5"/>
        <v>2272080</v>
      </c>
      <c r="J17" s="240">
        <f t="shared" ca="1" si="0"/>
        <v>2272080</v>
      </c>
    </row>
    <row r="18" spans="1:10" x14ac:dyDescent="0.2">
      <c r="A18" s="251" t="s">
        <v>221</v>
      </c>
      <c r="B18" s="252"/>
      <c r="C18" s="252"/>
      <c r="D18" s="252"/>
      <c r="E18" s="252"/>
      <c r="F18" s="252"/>
      <c r="G18" s="252"/>
      <c r="H18" s="252"/>
      <c r="I18" s="252"/>
      <c r="J18" s="253"/>
    </row>
    <row r="19" spans="1:10" x14ac:dyDescent="0.2">
      <c r="A19" s="257" t="s">
        <v>258</v>
      </c>
      <c r="B19" s="258"/>
      <c r="C19" s="70" t="s">
        <v>259</v>
      </c>
      <c r="D19" s="70">
        <v>1</v>
      </c>
      <c r="E19" s="213">
        <f>'4. CAPACITACIONES'!D8*15</f>
        <v>10213500</v>
      </c>
      <c r="F19" s="205">
        <f t="shared" ref="F19" si="6">E19*D19</f>
        <v>10213500</v>
      </c>
      <c r="G19" s="205"/>
      <c r="H19" s="205"/>
      <c r="I19" s="205">
        <f t="shared" ref="I19" si="7">F19</f>
        <v>10213500</v>
      </c>
      <c r="J19" s="235">
        <f t="shared" ref="J19" si="8">G19+H19+I19</f>
        <v>10213500</v>
      </c>
    </row>
    <row r="20" spans="1:10" ht="14.5" customHeight="1" x14ac:dyDescent="0.2">
      <c r="A20" s="257" t="s">
        <v>222</v>
      </c>
      <c r="B20" s="258"/>
      <c r="C20" s="70" t="s">
        <v>244</v>
      </c>
      <c r="D20" s="70">
        <v>1</v>
      </c>
      <c r="E20" s="213">
        <f ca="1">(I5+I6+I7+I12+I13+I15+I17)*0.12</f>
        <v>48233834.879999995</v>
      </c>
      <c r="F20" s="205">
        <f t="shared" ref="F20" ca="1" si="9">E20*D20</f>
        <v>48233834.879999995</v>
      </c>
      <c r="G20" s="205"/>
      <c r="H20" s="205"/>
      <c r="I20" s="205">
        <f ca="1">F20</f>
        <v>48233834.879999995</v>
      </c>
      <c r="J20" s="235">
        <f ca="1">G20+H20+I20</f>
        <v>48233834.879999995</v>
      </c>
    </row>
    <row r="21" spans="1:10" ht="16" thickBot="1" x14ac:dyDescent="0.25">
      <c r="A21" s="247" t="s">
        <v>147</v>
      </c>
      <c r="B21" s="248"/>
      <c r="C21" s="249"/>
      <c r="D21" s="249"/>
      <c r="E21" s="249"/>
      <c r="F21" s="250"/>
      <c r="G21" s="241">
        <f ca="1">SUM(G5:G20)</f>
        <v>198576000</v>
      </c>
      <c r="H21" s="241">
        <f ca="1">SUM(H5:H20)</f>
        <v>642646640</v>
      </c>
      <c r="I21" s="241">
        <f ca="1">SUM(I5:I20)</f>
        <v>460395958.88</v>
      </c>
      <c r="J21" s="242">
        <f ca="1">SUM(J5:J20)</f>
        <v>1301618598.8800001</v>
      </c>
    </row>
    <row r="22" spans="1:10" x14ac:dyDescent="0.2">
      <c r="G22" s="69"/>
    </row>
    <row r="23" spans="1:10" ht="31.25" customHeight="1" x14ac:dyDescent="0.2">
      <c r="G23" s="199"/>
      <c r="H23" s="214"/>
    </row>
    <row r="24" spans="1:10" ht="15.75" customHeight="1" x14ac:dyDescent="0.2">
      <c r="D24" s="223"/>
      <c r="E24" s="214"/>
      <c r="G24" s="215"/>
      <c r="H24" s="216"/>
      <c r="I24" s="214"/>
      <c r="J24" s="214"/>
    </row>
    <row r="25" spans="1:10" ht="15.75" customHeight="1" x14ac:dyDescent="0.2">
      <c r="D25" s="223"/>
      <c r="E25" s="214"/>
      <c r="G25" s="69"/>
      <c r="H25" s="214"/>
    </row>
    <row r="26" spans="1:10" ht="15.75" customHeight="1" x14ac:dyDescent="0.2">
      <c r="D26" s="222"/>
      <c r="E26" s="214"/>
    </row>
    <row r="27" spans="1:10" ht="15.75" customHeight="1" x14ac:dyDescent="0.2">
      <c r="D27" s="222"/>
      <c r="E27" s="214"/>
      <c r="G27" s="225"/>
      <c r="H27" s="214"/>
    </row>
    <row r="28" spans="1:10" ht="15.75" customHeight="1" x14ac:dyDescent="0.2">
      <c r="D28" s="222"/>
      <c r="E28" s="214"/>
      <c r="G28" s="69"/>
    </row>
    <row r="29" spans="1:10" ht="15.75" customHeight="1" x14ac:dyDescent="0.2">
      <c r="G29" s="69"/>
      <c r="I29" s="214"/>
    </row>
    <row r="30" spans="1:10" ht="15.75" customHeight="1" x14ac:dyDescent="0.2">
      <c r="G30" s="69"/>
    </row>
    <row r="31" spans="1:10" ht="15.75" customHeight="1" x14ac:dyDescent="0.2">
      <c r="D31" s="222"/>
      <c r="E31" s="214"/>
      <c r="G31" s="69"/>
    </row>
    <row r="32" spans="1:10" ht="15.75" customHeight="1" x14ac:dyDescent="0.2">
      <c r="G32" s="69"/>
    </row>
    <row r="33" spans="7:7" ht="15.75" customHeight="1" x14ac:dyDescent="0.2">
      <c r="G33" s="69"/>
    </row>
    <row r="34" spans="7:7" ht="15.75" customHeight="1" x14ac:dyDescent="0.2">
      <c r="G34" s="69"/>
    </row>
    <row r="35" spans="7:7" ht="15.75" customHeight="1" x14ac:dyDescent="0.2">
      <c r="G35" s="69"/>
    </row>
    <row r="36" spans="7:7" ht="15.75" customHeight="1" x14ac:dyDescent="0.2">
      <c r="G36" s="69"/>
    </row>
    <row r="37" spans="7:7" ht="15.75" customHeight="1" x14ac:dyDescent="0.2">
      <c r="G37" s="69"/>
    </row>
    <row r="38" spans="7:7" ht="15.75" customHeight="1" x14ac:dyDescent="0.2">
      <c r="G38" s="69"/>
    </row>
    <row r="39" spans="7:7" ht="15.75" customHeight="1" x14ac:dyDescent="0.2">
      <c r="G39" s="69"/>
    </row>
    <row r="40" spans="7:7" ht="15.75" customHeight="1" x14ac:dyDescent="0.2">
      <c r="G40" s="69"/>
    </row>
    <row r="41" spans="7:7" ht="15.75" customHeight="1" x14ac:dyDescent="0.2">
      <c r="G41" s="69"/>
    </row>
    <row r="42" spans="7:7" ht="15.75" customHeight="1" x14ac:dyDescent="0.2">
      <c r="G42" s="69"/>
    </row>
    <row r="43" spans="7:7" ht="15.75" customHeight="1" x14ac:dyDescent="0.2">
      <c r="G43" s="69"/>
    </row>
    <row r="44" spans="7:7" ht="15.75" customHeight="1" x14ac:dyDescent="0.2">
      <c r="G44" s="69"/>
    </row>
    <row r="45" spans="7:7" ht="15.75" customHeight="1" x14ac:dyDescent="0.2">
      <c r="G45" s="69"/>
    </row>
    <row r="46" spans="7:7" ht="15.75" customHeight="1" x14ac:dyDescent="0.2">
      <c r="G46" s="69"/>
    </row>
    <row r="47" spans="7:7" ht="15.75" customHeight="1" x14ac:dyDescent="0.2">
      <c r="G47" s="69"/>
    </row>
    <row r="48" spans="7:7" ht="15.75" customHeight="1" x14ac:dyDescent="0.2">
      <c r="G48" s="69"/>
    </row>
    <row r="49" spans="7:7" ht="15.75" customHeight="1" x14ac:dyDescent="0.2">
      <c r="G49" s="69"/>
    </row>
    <row r="50" spans="7:7" ht="15.75" customHeight="1" x14ac:dyDescent="0.2">
      <c r="G50" s="69"/>
    </row>
    <row r="51" spans="7:7" ht="15.75" customHeight="1" x14ac:dyDescent="0.2">
      <c r="G51" s="69"/>
    </row>
    <row r="52" spans="7:7" ht="15.75" customHeight="1" x14ac:dyDescent="0.2">
      <c r="G52" s="69"/>
    </row>
    <row r="53" spans="7:7" ht="15.75" customHeight="1" x14ac:dyDescent="0.2">
      <c r="G53" s="69"/>
    </row>
    <row r="54" spans="7:7" ht="15.75" customHeight="1" x14ac:dyDescent="0.2">
      <c r="G54" s="69"/>
    </row>
    <row r="55" spans="7:7" ht="15.75" customHeight="1" x14ac:dyDescent="0.2">
      <c r="G55" s="69"/>
    </row>
    <row r="56" spans="7:7" ht="15.75" customHeight="1" x14ac:dyDescent="0.2">
      <c r="G56" s="69"/>
    </row>
    <row r="57" spans="7:7" ht="15.75" customHeight="1" x14ac:dyDescent="0.2">
      <c r="G57" s="69"/>
    </row>
    <row r="58" spans="7:7" ht="15.75" customHeight="1" x14ac:dyDescent="0.2">
      <c r="G58" s="69"/>
    </row>
    <row r="59" spans="7:7" ht="15.75" customHeight="1" x14ac:dyDescent="0.2">
      <c r="G59" s="69"/>
    </row>
    <row r="60" spans="7:7" ht="15.75" customHeight="1" x14ac:dyDescent="0.2">
      <c r="G60" s="69"/>
    </row>
    <row r="61" spans="7:7" ht="15.75" customHeight="1" x14ac:dyDescent="0.2">
      <c r="G61" s="69"/>
    </row>
    <row r="62" spans="7:7" ht="15.75" customHeight="1" x14ac:dyDescent="0.2">
      <c r="G62" s="69"/>
    </row>
    <row r="63" spans="7:7" ht="15.75" customHeight="1" x14ac:dyDescent="0.2">
      <c r="G63" s="69"/>
    </row>
    <row r="64" spans="7:7" ht="15.75" customHeight="1" x14ac:dyDescent="0.2">
      <c r="G64" s="69"/>
    </row>
    <row r="65" spans="7:7" ht="15.75" customHeight="1" x14ac:dyDescent="0.2">
      <c r="G65" s="69"/>
    </row>
    <row r="66" spans="7:7" ht="15.75" customHeight="1" x14ac:dyDescent="0.2">
      <c r="G66" s="69"/>
    </row>
    <row r="67" spans="7:7" ht="15.75" customHeight="1" x14ac:dyDescent="0.2">
      <c r="G67" s="69"/>
    </row>
    <row r="68" spans="7:7" ht="15.75" customHeight="1" x14ac:dyDescent="0.2">
      <c r="G68" s="69"/>
    </row>
    <row r="69" spans="7:7" ht="15.75" customHeight="1" x14ac:dyDescent="0.2">
      <c r="G69" s="69"/>
    </row>
    <row r="70" spans="7:7" ht="15.75" customHeight="1" x14ac:dyDescent="0.2">
      <c r="G70" s="69"/>
    </row>
    <row r="71" spans="7:7" ht="15.75" customHeight="1" x14ac:dyDescent="0.2">
      <c r="G71" s="69"/>
    </row>
    <row r="72" spans="7:7" ht="15.75" customHeight="1" x14ac:dyDescent="0.2">
      <c r="G72" s="69"/>
    </row>
    <row r="73" spans="7:7" ht="15.75" customHeight="1" x14ac:dyDescent="0.2">
      <c r="G73" s="69"/>
    </row>
    <row r="74" spans="7:7" ht="15.75" customHeight="1" x14ac:dyDescent="0.2">
      <c r="G74" s="69"/>
    </row>
    <row r="75" spans="7:7" ht="15.75" customHeight="1" x14ac:dyDescent="0.2">
      <c r="G75" s="69"/>
    </row>
    <row r="76" spans="7:7" ht="15.75" customHeight="1" x14ac:dyDescent="0.2">
      <c r="G76" s="69"/>
    </row>
    <row r="77" spans="7:7" ht="15.75" customHeight="1" x14ac:dyDescent="0.2">
      <c r="G77" s="69"/>
    </row>
    <row r="78" spans="7:7" ht="15.75" customHeight="1" x14ac:dyDescent="0.2">
      <c r="G78" s="69"/>
    </row>
    <row r="79" spans="7:7" ht="15.75" customHeight="1" x14ac:dyDescent="0.2">
      <c r="G79" s="69"/>
    </row>
    <row r="80" spans="7:7" ht="15.75" customHeight="1" x14ac:dyDescent="0.2">
      <c r="G80" s="69"/>
    </row>
    <row r="81" spans="7:7" ht="15.75" customHeight="1" x14ac:dyDescent="0.2">
      <c r="G81" s="69"/>
    </row>
    <row r="82" spans="7:7" ht="15.75" customHeight="1" x14ac:dyDescent="0.2">
      <c r="G82" s="69"/>
    </row>
    <row r="83" spans="7:7" ht="15.75" customHeight="1" x14ac:dyDescent="0.2">
      <c r="G83" s="69"/>
    </row>
    <row r="84" spans="7:7" ht="15.75" customHeight="1" x14ac:dyDescent="0.2">
      <c r="G84" s="69"/>
    </row>
    <row r="85" spans="7:7" ht="15.75" customHeight="1" x14ac:dyDescent="0.2">
      <c r="G85" s="69"/>
    </row>
    <row r="86" spans="7:7" ht="15.75" customHeight="1" x14ac:dyDescent="0.2">
      <c r="G86" s="69"/>
    </row>
    <row r="87" spans="7:7" ht="15.75" customHeight="1" x14ac:dyDescent="0.2">
      <c r="G87" s="69"/>
    </row>
    <row r="88" spans="7:7" ht="15.75" customHeight="1" x14ac:dyDescent="0.2">
      <c r="G88" s="69"/>
    </row>
    <row r="89" spans="7:7" ht="15.75" customHeight="1" x14ac:dyDescent="0.2">
      <c r="G89" s="69"/>
    </row>
    <row r="90" spans="7:7" ht="15.75" customHeight="1" x14ac:dyDescent="0.2">
      <c r="G90" s="69"/>
    </row>
    <row r="91" spans="7:7" ht="15.75" customHeight="1" x14ac:dyDescent="0.2">
      <c r="G91" s="69"/>
    </row>
    <row r="92" spans="7:7" ht="15.75" customHeight="1" x14ac:dyDescent="0.2">
      <c r="G92" s="69"/>
    </row>
    <row r="93" spans="7:7" ht="15.75" customHeight="1" x14ac:dyDescent="0.2">
      <c r="G93" s="69"/>
    </row>
    <row r="94" spans="7:7" ht="15.75" customHeight="1" x14ac:dyDescent="0.2">
      <c r="G94" s="69"/>
    </row>
    <row r="95" spans="7:7" ht="15.75" customHeight="1" x14ac:dyDescent="0.2">
      <c r="G95" s="69"/>
    </row>
    <row r="96" spans="7:7" ht="15.75" customHeight="1" x14ac:dyDescent="0.2">
      <c r="G96" s="69"/>
    </row>
    <row r="97" spans="7:7" ht="15.75" customHeight="1" x14ac:dyDescent="0.2">
      <c r="G97" s="69"/>
    </row>
    <row r="98" spans="7:7" ht="15.75" customHeight="1" x14ac:dyDescent="0.2">
      <c r="G98" s="69"/>
    </row>
    <row r="99" spans="7:7" ht="15.75" customHeight="1" x14ac:dyDescent="0.2">
      <c r="G99" s="69"/>
    </row>
    <row r="100" spans="7:7" ht="15.75" customHeight="1" x14ac:dyDescent="0.2">
      <c r="G100" s="69"/>
    </row>
    <row r="101" spans="7:7" ht="15.75" customHeight="1" x14ac:dyDescent="0.2">
      <c r="G101" s="69"/>
    </row>
    <row r="102" spans="7:7" ht="15.75" customHeight="1" x14ac:dyDescent="0.2">
      <c r="G102" s="69"/>
    </row>
    <row r="103" spans="7:7" ht="15.75" customHeight="1" x14ac:dyDescent="0.2">
      <c r="G103" s="69"/>
    </row>
    <row r="104" spans="7:7" ht="15.75" customHeight="1" x14ac:dyDescent="0.2">
      <c r="G104" s="69"/>
    </row>
    <row r="105" spans="7:7" ht="15.75" customHeight="1" x14ac:dyDescent="0.2">
      <c r="G105" s="69"/>
    </row>
    <row r="106" spans="7:7" ht="15.75" customHeight="1" x14ac:dyDescent="0.2">
      <c r="G106" s="69"/>
    </row>
    <row r="107" spans="7:7" ht="15.75" customHeight="1" x14ac:dyDescent="0.2">
      <c r="G107" s="69"/>
    </row>
    <row r="108" spans="7:7" ht="15.75" customHeight="1" x14ac:dyDescent="0.2">
      <c r="G108" s="69"/>
    </row>
    <row r="109" spans="7:7" ht="15.75" customHeight="1" x14ac:dyDescent="0.2">
      <c r="G109" s="69"/>
    </row>
    <row r="110" spans="7:7" ht="15.75" customHeight="1" x14ac:dyDescent="0.2">
      <c r="G110" s="69"/>
    </row>
    <row r="111" spans="7:7" ht="15.75" customHeight="1" x14ac:dyDescent="0.2">
      <c r="G111" s="69"/>
    </row>
    <row r="112" spans="7:7" ht="15.75" customHeight="1" x14ac:dyDescent="0.2">
      <c r="G112" s="69"/>
    </row>
    <row r="113" spans="7:7" ht="15.75" customHeight="1" x14ac:dyDescent="0.2">
      <c r="G113" s="69"/>
    </row>
    <row r="114" spans="7:7" ht="15.75" customHeight="1" x14ac:dyDescent="0.2">
      <c r="G114" s="69"/>
    </row>
    <row r="115" spans="7:7" ht="15.75" customHeight="1" x14ac:dyDescent="0.2">
      <c r="G115" s="69"/>
    </row>
    <row r="116" spans="7:7" ht="15.75" customHeight="1" x14ac:dyDescent="0.2">
      <c r="G116" s="69"/>
    </row>
    <row r="117" spans="7:7" ht="15.75" customHeight="1" x14ac:dyDescent="0.2">
      <c r="G117" s="69"/>
    </row>
    <row r="118" spans="7:7" ht="15.75" customHeight="1" x14ac:dyDescent="0.2">
      <c r="G118" s="69"/>
    </row>
    <row r="119" spans="7:7" ht="15.75" customHeight="1" x14ac:dyDescent="0.2">
      <c r="G119" s="69"/>
    </row>
    <row r="120" spans="7:7" ht="15.75" customHeight="1" x14ac:dyDescent="0.2">
      <c r="G120" s="69"/>
    </row>
    <row r="121" spans="7:7" ht="15.75" customHeight="1" x14ac:dyDescent="0.2">
      <c r="G121" s="69"/>
    </row>
    <row r="122" spans="7:7" ht="15.75" customHeight="1" x14ac:dyDescent="0.2">
      <c r="G122" s="69"/>
    </row>
    <row r="123" spans="7:7" ht="15.75" customHeight="1" x14ac:dyDescent="0.2">
      <c r="G123" s="69"/>
    </row>
    <row r="124" spans="7:7" ht="15.75" customHeight="1" x14ac:dyDescent="0.2">
      <c r="G124" s="69"/>
    </row>
    <row r="125" spans="7:7" ht="15.75" customHeight="1" x14ac:dyDescent="0.2">
      <c r="G125" s="69"/>
    </row>
    <row r="126" spans="7:7" ht="15.75" customHeight="1" x14ac:dyDescent="0.2">
      <c r="G126" s="69"/>
    </row>
    <row r="127" spans="7:7" ht="15.75" customHeight="1" x14ac:dyDescent="0.2">
      <c r="G127" s="69"/>
    </row>
    <row r="128" spans="7:7" ht="15.75" customHeight="1" x14ac:dyDescent="0.2">
      <c r="G128" s="69"/>
    </row>
    <row r="129" spans="7:7" ht="15.75" customHeight="1" x14ac:dyDescent="0.2">
      <c r="G129" s="69"/>
    </row>
    <row r="130" spans="7:7" ht="15.75" customHeight="1" x14ac:dyDescent="0.2">
      <c r="G130" s="69"/>
    </row>
    <row r="131" spans="7:7" ht="15.75" customHeight="1" x14ac:dyDescent="0.2">
      <c r="G131" s="69"/>
    </row>
    <row r="132" spans="7:7" ht="15.75" customHeight="1" x14ac:dyDescent="0.2">
      <c r="G132" s="69"/>
    </row>
    <row r="133" spans="7:7" ht="15.75" customHeight="1" x14ac:dyDescent="0.2">
      <c r="G133" s="69"/>
    </row>
    <row r="134" spans="7:7" ht="15.75" customHeight="1" x14ac:dyDescent="0.2">
      <c r="G134" s="69"/>
    </row>
    <row r="135" spans="7:7" ht="15.75" customHeight="1" x14ac:dyDescent="0.2">
      <c r="G135" s="69"/>
    </row>
    <row r="136" spans="7:7" ht="15.75" customHeight="1" x14ac:dyDescent="0.2">
      <c r="G136" s="69"/>
    </row>
    <row r="137" spans="7:7" ht="15.75" customHeight="1" x14ac:dyDescent="0.2">
      <c r="G137" s="69"/>
    </row>
    <row r="138" spans="7:7" ht="15.75" customHeight="1" x14ac:dyDescent="0.2">
      <c r="G138" s="69"/>
    </row>
    <row r="139" spans="7:7" ht="15.75" customHeight="1" x14ac:dyDescent="0.2">
      <c r="G139" s="69"/>
    </row>
    <row r="140" spans="7:7" ht="15.75" customHeight="1" x14ac:dyDescent="0.2">
      <c r="G140" s="69"/>
    </row>
    <row r="141" spans="7:7" ht="15.75" customHeight="1" x14ac:dyDescent="0.2">
      <c r="G141" s="69"/>
    </row>
    <row r="142" spans="7:7" ht="15.75" customHeight="1" x14ac:dyDescent="0.2">
      <c r="G142" s="69"/>
    </row>
    <row r="143" spans="7:7" ht="15.75" customHeight="1" x14ac:dyDescent="0.2">
      <c r="G143" s="69"/>
    </row>
    <row r="144" spans="7:7" ht="15.75" customHeight="1" x14ac:dyDescent="0.2">
      <c r="G144" s="69"/>
    </row>
    <row r="145" spans="7:7" ht="15.75" customHeight="1" x14ac:dyDescent="0.2">
      <c r="G145" s="69"/>
    </row>
    <row r="146" spans="7:7" ht="15.75" customHeight="1" x14ac:dyDescent="0.2">
      <c r="G146" s="69"/>
    </row>
    <row r="147" spans="7:7" ht="15.75" customHeight="1" x14ac:dyDescent="0.2">
      <c r="G147" s="69"/>
    </row>
    <row r="148" spans="7:7" ht="15.75" customHeight="1" x14ac:dyDescent="0.2">
      <c r="G148" s="69"/>
    </row>
    <row r="149" spans="7:7" ht="15.75" customHeight="1" x14ac:dyDescent="0.2">
      <c r="G149" s="69"/>
    </row>
    <row r="150" spans="7:7" ht="15.75" customHeight="1" x14ac:dyDescent="0.2">
      <c r="G150" s="69"/>
    </row>
    <row r="151" spans="7:7" ht="15.75" customHeight="1" x14ac:dyDescent="0.2">
      <c r="G151" s="69"/>
    </row>
    <row r="152" spans="7:7" ht="15.75" customHeight="1" x14ac:dyDescent="0.2">
      <c r="G152" s="69"/>
    </row>
    <row r="153" spans="7:7" ht="15.75" customHeight="1" x14ac:dyDescent="0.2">
      <c r="G153" s="69"/>
    </row>
    <row r="154" spans="7:7" ht="15.75" customHeight="1" x14ac:dyDescent="0.2">
      <c r="G154" s="69"/>
    </row>
    <row r="155" spans="7:7" ht="15.75" customHeight="1" x14ac:dyDescent="0.2">
      <c r="G155" s="69"/>
    </row>
    <row r="156" spans="7:7" ht="15.75" customHeight="1" x14ac:dyDescent="0.2">
      <c r="G156" s="69"/>
    </row>
    <row r="157" spans="7:7" ht="15.75" customHeight="1" x14ac:dyDescent="0.2">
      <c r="G157" s="69"/>
    </row>
    <row r="158" spans="7:7" ht="15.75" customHeight="1" x14ac:dyDescent="0.2">
      <c r="G158" s="69"/>
    </row>
    <row r="159" spans="7:7" ht="15.75" customHeight="1" x14ac:dyDescent="0.2">
      <c r="G159" s="69"/>
    </row>
    <row r="160" spans="7:7" ht="15.75" customHeight="1" x14ac:dyDescent="0.2">
      <c r="G160" s="69"/>
    </row>
    <row r="161" spans="7:7" ht="15.75" customHeight="1" x14ac:dyDescent="0.2">
      <c r="G161" s="69"/>
    </row>
    <row r="162" spans="7:7" ht="15.75" customHeight="1" x14ac:dyDescent="0.2">
      <c r="G162" s="69"/>
    </row>
    <row r="163" spans="7:7" ht="15.75" customHeight="1" x14ac:dyDescent="0.2">
      <c r="G163" s="69"/>
    </row>
    <row r="164" spans="7:7" ht="15.75" customHeight="1" x14ac:dyDescent="0.2">
      <c r="G164" s="69"/>
    </row>
    <row r="165" spans="7:7" ht="15.75" customHeight="1" x14ac:dyDescent="0.2">
      <c r="G165" s="69"/>
    </row>
    <row r="166" spans="7:7" ht="15.75" customHeight="1" x14ac:dyDescent="0.2">
      <c r="G166" s="69"/>
    </row>
    <row r="167" spans="7:7" ht="15.75" customHeight="1" x14ac:dyDescent="0.2">
      <c r="G167" s="69"/>
    </row>
    <row r="168" spans="7:7" ht="15.75" customHeight="1" x14ac:dyDescent="0.2">
      <c r="G168" s="69"/>
    </row>
    <row r="169" spans="7:7" ht="15.75" customHeight="1" x14ac:dyDescent="0.2">
      <c r="G169" s="69"/>
    </row>
    <row r="170" spans="7:7" ht="15.75" customHeight="1" x14ac:dyDescent="0.2">
      <c r="G170" s="69"/>
    </row>
    <row r="171" spans="7:7" ht="15.75" customHeight="1" x14ac:dyDescent="0.2">
      <c r="G171" s="69"/>
    </row>
    <row r="172" spans="7:7" ht="15.75" customHeight="1" x14ac:dyDescent="0.2">
      <c r="G172" s="69"/>
    </row>
    <row r="173" spans="7:7" ht="15.75" customHeight="1" x14ac:dyDescent="0.2">
      <c r="G173" s="69"/>
    </row>
    <row r="174" spans="7:7" ht="15.75" customHeight="1" x14ac:dyDescent="0.2">
      <c r="G174" s="69"/>
    </row>
    <row r="175" spans="7:7" ht="15.75" customHeight="1" x14ac:dyDescent="0.2">
      <c r="G175" s="69"/>
    </row>
    <row r="176" spans="7:7" ht="15.75" customHeight="1" x14ac:dyDescent="0.2">
      <c r="G176" s="69"/>
    </row>
    <row r="177" spans="7:7" ht="15.75" customHeight="1" x14ac:dyDescent="0.2">
      <c r="G177" s="69"/>
    </row>
    <row r="178" spans="7:7" ht="15.75" customHeight="1" x14ac:dyDescent="0.2">
      <c r="G178" s="69"/>
    </row>
    <row r="179" spans="7:7" ht="15.75" customHeight="1" x14ac:dyDescent="0.2">
      <c r="G179" s="69"/>
    </row>
    <row r="180" spans="7:7" ht="15.75" customHeight="1" x14ac:dyDescent="0.2">
      <c r="G180" s="69"/>
    </row>
    <row r="181" spans="7:7" ht="15.75" customHeight="1" x14ac:dyDescent="0.2">
      <c r="G181" s="69"/>
    </row>
    <row r="182" spans="7:7" ht="15.75" customHeight="1" x14ac:dyDescent="0.2">
      <c r="G182" s="69"/>
    </row>
    <row r="183" spans="7:7" ht="15.75" customHeight="1" x14ac:dyDescent="0.2">
      <c r="G183" s="69"/>
    </row>
    <row r="184" spans="7:7" ht="15.75" customHeight="1" x14ac:dyDescent="0.2">
      <c r="G184" s="69"/>
    </row>
    <row r="185" spans="7:7" ht="15.75" customHeight="1" x14ac:dyDescent="0.2">
      <c r="G185" s="69"/>
    </row>
    <row r="186" spans="7:7" ht="15.75" customHeight="1" x14ac:dyDescent="0.2">
      <c r="G186" s="69"/>
    </row>
    <row r="187" spans="7:7" ht="15.75" customHeight="1" x14ac:dyDescent="0.2">
      <c r="G187" s="69"/>
    </row>
    <row r="188" spans="7:7" ht="15.75" customHeight="1" x14ac:dyDescent="0.2">
      <c r="G188" s="69"/>
    </row>
    <row r="189" spans="7:7" ht="15.75" customHeight="1" x14ac:dyDescent="0.2">
      <c r="G189" s="69"/>
    </row>
    <row r="190" spans="7:7" ht="15.75" customHeight="1" x14ac:dyDescent="0.2">
      <c r="G190" s="69"/>
    </row>
    <row r="191" spans="7:7" ht="15.75" customHeight="1" x14ac:dyDescent="0.2">
      <c r="G191" s="69"/>
    </row>
    <row r="192" spans="7:7" ht="15.75" customHeight="1" x14ac:dyDescent="0.2">
      <c r="G192" s="69"/>
    </row>
    <row r="193" spans="7:7" ht="15.75" customHeight="1" x14ac:dyDescent="0.2">
      <c r="G193" s="69"/>
    </row>
    <row r="194" spans="7:7" ht="15.75" customHeight="1" x14ac:dyDescent="0.2">
      <c r="G194" s="69"/>
    </row>
    <row r="195" spans="7:7" ht="15.75" customHeight="1" x14ac:dyDescent="0.2">
      <c r="G195" s="69"/>
    </row>
    <row r="196" spans="7:7" ht="15.75" customHeight="1" x14ac:dyDescent="0.2">
      <c r="G196" s="69"/>
    </row>
    <row r="197" spans="7:7" ht="15.75" customHeight="1" x14ac:dyDescent="0.2">
      <c r="G197" s="69"/>
    </row>
    <row r="198" spans="7:7" ht="15.75" customHeight="1" x14ac:dyDescent="0.2">
      <c r="G198" s="69"/>
    </row>
    <row r="199" spans="7:7" ht="15.75" customHeight="1" x14ac:dyDescent="0.2">
      <c r="G199" s="69"/>
    </row>
    <row r="200" spans="7:7" ht="15.75" customHeight="1" x14ac:dyDescent="0.2">
      <c r="G200" s="69"/>
    </row>
    <row r="201" spans="7:7" ht="15.75" customHeight="1" x14ac:dyDescent="0.2">
      <c r="G201" s="69"/>
    </row>
    <row r="202" spans="7:7" ht="15.75" customHeight="1" x14ac:dyDescent="0.2">
      <c r="G202" s="69"/>
    </row>
    <row r="203" spans="7:7" ht="15.75" customHeight="1" x14ac:dyDescent="0.2">
      <c r="G203" s="69"/>
    </row>
    <row r="204" spans="7:7" ht="15.75" customHeight="1" x14ac:dyDescent="0.2">
      <c r="G204" s="69"/>
    </row>
    <row r="205" spans="7:7" ht="15.75" customHeight="1" x14ac:dyDescent="0.2">
      <c r="G205" s="69"/>
    </row>
    <row r="206" spans="7:7" ht="15.75" customHeight="1" x14ac:dyDescent="0.2">
      <c r="G206" s="69"/>
    </row>
    <row r="207" spans="7:7" ht="15.75" customHeight="1" x14ac:dyDescent="0.2">
      <c r="G207" s="69"/>
    </row>
    <row r="208" spans="7:7" ht="15.75" customHeight="1" x14ac:dyDescent="0.2">
      <c r="G208" s="69"/>
    </row>
    <row r="209" spans="7:7" ht="15.75" customHeight="1" x14ac:dyDescent="0.2">
      <c r="G209" s="69"/>
    </row>
    <row r="210" spans="7:7" ht="15.75" customHeight="1" x14ac:dyDescent="0.2">
      <c r="G210" s="69"/>
    </row>
    <row r="211" spans="7:7" ht="15.75" customHeight="1" x14ac:dyDescent="0.2">
      <c r="G211" s="69"/>
    </row>
    <row r="212" spans="7:7" ht="15.75" customHeight="1" x14ac:dyDescent="0.2">
      <c r="G212" s="69"/>
    </row>
    <row r="213" spans="7:7" ht="15.75" customHeight="1" x14ac:dyDescent="0.2">
      <c r="G213" s="69"/>
    </row>
    <row r="214" spans="7:7" ht="15.75" customHeight="1" x14ac:dyDescent="0.2">
      <c r="G214" s="69"/>
    </row>
    <row r="215" spans="7:7" ht="15.75" customHeight="1" x14ac:dyDescent="0.2">
      <c r="G215" s="69"/>
    </row>
    <row r="216" spans="7:7" ht="15.75" customHeight="1" x14ac:dyDescent="0.2">
      <c r="G216" s="69"/>
    </row>
    <row r="217" spans="7:7" ht="15.75" customHeight="1" x14ac:dyDescent="0.2">
      <c r="G217" s="69"/>
    </row>
    <row r="218" spans="7:7" ht="15.75" customHeight="1" x14ac:dyDescent="0.2">
      <c r="G218" s="69"/>
    </row>
    <row r="219" spans="7:7" ht="15.75" customHeight="1" x14ac:dyDescent="0.2">
      <c r="G219" s="69"/>
    </row>
    <row r="220" spans="7:7" ht="15.75" customHeight="1" x14ac:dyDescent="0.2">
      <c r="G220" s="69"/>
    </row>
    <row r="221" spans="7:7" ht="15.75" customHeight="1" x14ac:dyDescent="0.2">
      <c r="G221" s="69"/>
    </row>
    <row r="222" spans="7:7" ht="15.75" customHeight="1" x14ac:dyDescent="0.2">
      <c r="G222" s="69"/>
    </row>
    <row r="223" spans="7:7" ht="15.75" customHeight="1" x14ac:dyDescent="0.2">
      <c r="G223" s="69"/>
    </row>
    <row r="224" spans="7:7" ht="15.75" customHeight="1" x14ac:dyDescent="0.2">
      <c r="G224" s="69"/>
    </row>
    <row r="225" spans="7:7" ht="15.75" customHeight="1" x14ac:dyDescent="0.2">
      <c r="G225" s="69"/>
    </row>
    <row r="226" spans="7:7" ht="15.75" customHeight="1" x14ac:dyDescent="0.2">
      <c r="G226" s="69"/>
    </row>
    <row r="227" spans="7:7" ht="15.75" customHeight="1" x14ac:dyDescent="0.2">
      <c r="G227" s="69"/>
    </row>
    <row r="228" spans="7:7" ht="15.75" customHeight="1" x14ac:dyDescent="0.2">
      <c r="G228" s="69"/>
    </row>
    <row r="229" spans="7:7" ht="15.75" customHeight="1" x14ac:dyDescent="0.2">
      <c r="G229" s="69"/>
    </row>
    <row r="230" spans="7:7" ht="15.75" customHeight="1" x14ac:dyDescent="0.2">
      <c r="G230" s="69"/>
    </row>
    <row r="231" spans="7:7" ht="15.75" customHeight="1" x14ac:dyDescent="0.2">
      <c r="G231" s="69"/>
    </row>
    <row r="232" spans="7:7" ht="15.75" customHeight="1" x14ac:dyDescent="0.2">
      <c r="G232" s="69"/>
    </row>
    <row r="233" spans="7:7" ht="15.75" customHeight="1" x14ac:dyDescent="0.2">
      <c r="G233" s="69"/>
    </row>
    <row r="234" spans="7:7" ht="15.75" customHeight="1" x14ac:dyDescent="0.2">
      <c r="G234" s="69"/>
    </row>
    <row r="235" spans="7:7" ht="15.75" customHeight="1" x14ac:dyDescent="0.2">
      <c r="G235" s="69"/>
    </row>
    <row r="236" spans="7:7" ht="15.75" customHeight="1" x14ac:dyDescent="0.2">
      <c r="G236" s="69"/>
    </row>
    <row r="237" spans="7:7" ht="15.75" customHeight="1" x14ac:dyDescent="0.2">
      <c r="G237" s="69"/>
    </row>
    <row r="238" spans="7:7" ht="15.75" customHeight="1" x14ac:dyDescent="0.2">
      <c r="G238" s="69"/>
    </row>
    <row r="239" spans="7:7" ht="15.75" customHeight="1" x14ac:dyDescent="0.2">
      <c r="G239" s="69"/>
    </row>
    <row r="240" spans="7:7" ht="15.75" customHeight="1" x14ac:dyDescent="0.2">
      <c r="G240" s="69"/>
    </row>
    <row r="241" spans="7:7" ht="15.75" customHeight="1" x14ac:dyDescent="0.2">
      <c r="G241" s="69"/>
    </row>
    <row r="242" spans="7:7" ht="15.75" customHeight="1" x14ac:dyDescent="0.2">
      <c r="G242" s="69"/>
    </row>
    <row r="243" spans="7:7" ht="15.75" customHeight="1" x14ac:dyDescent="0.2">
      <c r="G243" s="69"/>
    </row>
    <row r="244" spans="7:7" ht="15.75" customHeight="1" x14ac:dyDescent="0.2">
      <c r="G244" s="69"/>
    </row>
    <row r="245" spans="7:7" ht="15.75" customHeight="1" x14ac:dyDescent="0.2">
      <c r="G245" s="69"/>
    </row>
    <row r="246" spans="7:7" ht="15.75" customHeight="1" x14ac:dyDescent="0.2">
      <c r="G246" s="69"/>
    </row>
    <row r="247" spans="7:7" ht="15.75" customHeight="1" x14ac:dyDescent="0.2">
      <c r="G247" s="69"/>
    </row>
    <row r="248" spans="7:7" ht="15.75" customHeight="1" x14ac:dyDescent="0.2">
      <c r="G248" s="69"/>
    </row>
    <row r="249" spans="7:7" ht="15.75" customHeight="1" x14ac:dyDescent="0.2">
      <c r="G249" s="69"/>
    </row>
    <row r="250" spans="7:7" ht="15.75" customHeight="1" x14ac:dyDescent="0.2">
      <c r="G250" s="69"/>
    </row>
    <row r="251" spans="7:7" ht="15.75" customHeight="1" x14ac:dyDescent="0.2">
      <c r="G251" s="69"/>
    </row>
    <row r="252" spans="7:7" ht="15.75" customHeight="1" x14ac:dyDescent="0.2">
      <c r="G252" s="69"/>
    </row>
    <row r="253" spans="7:7" ht="15.75" customHeight="1" x14ac:dyDescent="0.2">
      <c r="G253" s="69"/>
    </row>
    <row r="254" spans="7:7" ht="15.75" customHeight="1" x14ac:dyDescent="0.2">
      <c r="G254" s="69"/>
    </row>
    <row r="255" spans="7:7" ht="15.75" customHeight="1" x14ac:dyDescent="0.2">
      <c r="G255" s="69"/>
    </row>
    <row r="256" spans="7:7" ht="15.75" customHeight="1" x14ac:dyDescent="0.2">
      <c r="G256" s="69"/>
    </row>
    <row r="257" spans="7:7" ht="15.75" customHeight="1" x14ac:dyDescent="0.2">
      <c r="G257" s="69"/>
    </row>
    <row r="258" spans="7:7" ht="15.75" customHeight="1" x14ac:dyDescent="0.2">
      <c r="G258" s="69"/>
    </row>
    <row r="259" spans="7:7" ht="15.75" customHeight="1" x14ac:dyDescent="0.2">
      <c r="G259" s="69"/>
    </row>
    <row r="260" spans="7:7" ht="15.75" customHeight="1" x14ac:dyDescent="0.2">
      <c r="G260" s="69"/>
    </row>
    <row r="261" spans="7:7" ht="15.75" customHeight="1" x14ac:dyDescent="0.2">
      <c r="G261" s="69"/>
    </row>
    <row r="262" spans="7:7" ht="15.75" customHeight="1" x14ac:dyDescent="0.2">
      <c r="G262" s="69"/>
    </row>
    <row r="263" spans="7:7" ht="15.75" customHeight="1" x14ac:dyDescent="0.2">
      <c r="G263" s="69"/>
    </row>
    <row r="264" spans="7:7" ht="15.75" customHeight="1" x14ac:dyDescent="0.2">
      <c r="G264" s="69"/>
    </row>
    <row r="265" spans="7:7" ht="15.75" customHeight="1" x14ac:dyDescent="0.2">
      <c r="G265" s="69"/>
    </row>
    <row r="266" spans="7:7" ht="15.75" customHeight="1" x14ac:dyDescent="0.2">
      <c r="G266" s="69"/>
    </row>
    <row r="267" spans="7:7" ht="15.75" customHeight="1" x14ac:dyDescent="0.2">
      <c r="G267" s="69"/>
    </row>
    <row r="268" spans="7:7" ht="15.75" customHeight="1" x14ac:dyDescent="0.2">
      <c r="G268" s="69"/>
    </row>
    <row r="269" spans="7:7" ht="15.75" customHeight="1" x14ac:dyDescent="0.2">
      <c r="G269" s="69"/>
    </row>
    <row r="270" spans="7:7" ht="15.75" customHeight="1" x14ac:dyDescent="0.2">
      <c r="G270" s="69"/>
    </row>
    <row r="271" spans="7:7" ht="15.75" customHeight="1" x14ac:dyDescent="0.2">
      <c r="G271" s="69"/>
    </row>
    <row r="272" spans="7:7" ht="15.75" customHeight="1" x14ac:dyDescent="0.2">
      <c r="G272" s="69"/>
    </row>
    <row r="273" spans="7:7" ht="15.75" customHeight="1" x14ac:dyDescent="0.2">
      <c r="G273" s="69"/>
    </row>
    <row r="274" spans="7:7" ht="15.75" customHeight="1" x14ac:dyDescent="0.2">
      <c r="G274" s="69"/>
    </row>
    <row r="275" spans="7:7" ht="15.75" customHeight="1" x14ac:dyDescent="0.2">
      <c r="G275" s="69"/>
    </row>
    <row r="276" spans="7:7" ht="15.75" customHeight="1" x14ac:dyDescent="0.2">
      <c r="G276" s="69"/>
    </row>
    <row r="277" spans="7:7" ht="15.75" customHeight="1" x14ac:dyDescent="0.2">
      <c r="G277" s="69"/>
    </row>
    <row r="278" spans="7:7" ht="15.75" customHeight="1" x14ac:dyDescent="0.2">
      <c r="G278" s="69"/>
    </row>
    <row r="279" spans="7:7" ht="15.75" customHeight="1" x14ac:dyDescent="0.2">
      <c r="G279" s="69"/>
    </row>
    <row r="280" spans="7:7" ht="15.75" customHeight="1" x14ac:dyDescent="0.2">
      <c r="G280" s="69"/>
    </row>
    <row r="281" spans="7:7" ht="15.75" customHeight="1" x14ac:dyDescent="0.2">
      <c r="G281" s="69"/>
    </row>
    <row r="282" spans="7:7" ht="15.75" customHeight="1" x14ac:dyDescent="0.2">
      <c r="G282" s="69"/>
    </row>
    <row r="283" spans="7:7" ht="15.75" customHeight="1" x14ac:dyDescent="0.2">
      <c r="G283" s="69"/>
    </row>
    <row r="284" spans="7:7" ht="15.75" customHeight="1" x14ac:dyDescent="0.2">
      <c r="G284" s="69"/>
    </row>
    <row r="285" spans="7:7" ht="15.75" customHeight="1" x14ac:dyDescent="0.2">
      <c r="G285" s="69"/>
    </row>
    <row r="286" spans="7:7" ht="15.75" customHeight="1" x14ac:dyDescent="0.2">
      <c r="G286" s="69"/>
    </row>
    <row r="287" spans="7:7" ht="15.75" customHeight="1" x14ac:dyDescent="0.2">
      <c r="G287" s="69"/>
    </row>
    <row r="288" spans="7:7" ht="15.75" customHeight="1" x14ac:dyDescent="0.2">
      <c r="G288" s="69"/>
    </row>
    <row r="289" spans="7:7" ht="15.75" customHeight="1" x14ac:dyDescent="0.2">
      <c r="G289" s="69"/>
    </row>
    <row r="290" spans="7:7" ht="15.75" customHeight="1" x14ac:dyDescent="0.2">
      <c r="G290" s="69"/>
    </row>
    <row r="291" spans="7:7" ht="15.75" customHeight="1" x14ac:dyDescent="0.2">
      <c r="G291" s="69"/>
    </row>
    <row r="292" spans="7:7" ht="15.75" customHeight="1" x14ac:dyDescent="0.2">
      <c r="G292" s="69"/>
    </row>
    <row r="293" spans="7:7" ht="15.75" customHeight="1" x14ac:dyDescent="0.2">
      <c r="G293" s="69"/>
    </row>
    <row r="294" spans="7:7" ht="15.75" customHeight="1" x14ac:dyDescent="0.2">
      <c r="G294" s="69"/>
    </row>
    <row r="295" spans="7:7" ht="15.75" customHeight="1" x14ac:dyDescent="0.2">
      <c r="G295" s="69"/>
    </row>
    <row r="296" spans="7:7" ht="15.75" customHeight="1" x14ac:dyDescent="0.2">
      <c r="G296" s="69"/>
    </row>
    <row r="297" spans="7:7" ht="15.75" customHeight="1" x14ac:dyDescent="0.2">
      <c r="G297" s="69"/>
    </row>
    <row r="298" spans="7:7" ht="15.75" customHeight="1" x14ac:dyDescent="0.2">
      <c r="G298" s="69"/>
    </row>
    <row r="299" spans="7:7" ht="15.75" customHeight="1" x14ac:dyDescent="0.2">
      <c r="G299" s="69"/>
    </row>
    <row r="300" spans="7:7" ht="15.75" customHeight="1" x14ac:dyDescent="0.2">
      <c r="G300" s="69"/>
    </row>
    <row r="301" spans="7:7" ht="15.75" customHeight="1" x14ac:dyDescent="0.2">
      <c r="G301" s="69"/>
    </row>
    <row r="302" spans="7:7" ht="15.75" customHeight="1" x14ac:dyDescent="0.2">
      <c r="G302" s="69"/>
    </row>
    <row r="303" spans="7:7" ht="15.75" customHeight="1" x14ac:dyDescent="0.2">
      <c r="G303" s="69"/>
    </row>
    <row r="304" spans="7:7" ht="15.75" customHeight="1" x14ac:dyDescent="0.2">
      <c r="G304" s="69"/>
    </row>
    <row r="305" spans="7:7" ht="15.75" customHeight="1" x14ac:dyDescent="0.2">
      <c r="G305" s="69"/>
    </row>
    <row r="306" spans="7:7" ht="15.75" customHeight="1" x14ac:dyDescent="0.2">
      <c r="G306" s="69"/>
    </row>
    <row r="307" spans="7:7" ht="15.75" customHeight="1" x14ac:dyDescent="0.2">
      <c r="G307" s="69"/>
    </row>
    <row r="308" spans="7:7" ht="15.75" customHeight="1" x14ac:dyDescent="0.2">
      <c r="G308" s="69"/>
    </row>
    <row r="309" spans="7:7" ht="15.75" customHeight="1" x14ac:dyDescent="0.2">
      <c r="G309" s="69"/>
    </row>
    <row r="310" spans="7:7" ht="15.75" customHeight="1" x14ac:dyDescent="0.2">
      <c r="G310" s="69"/>
    </row>
    <row r="311" spans="7:7" ht="15.75" customHeight="1" x14ac:dyDescent="0.2">
      <c r="G311" s="69"/>
    </row>
    <row r="312" spans="7:7" ht="15.75" customHeight="1" x14ac:dyDescent="0.2">
      <c r="G312" s="69"/>
    </row>
    <row r="313" spans="7:7" ht="15.75" customHeight="1" x14ac:dyDescent="0.2">
      <c r="G313" s="69"/>
    </row>
    <row r="314" spans="7:7" ht="15.75" customHeight="1" x14ac:dyDescent="0.2">
      <c r="G314" s="69"/>
    </row>
    <row r="315" spans="7:7" ht="15.75" customHeight="1" x14ac:dyDescent="0.2">
      <c r="G315" s="69"/>
    </row>
    <row r="316" spans="7:7" ht="15.75" customHeight="1" x14ac:dyDescent="0.2">
      <c r="G316" s="69"/>
    </row>
    <row r="317" spans="7:7" ht="15.75" customHeight="1" x14ac:dyDescent="0.2">
      <c r="G317" s="69"/>
    </row>
    <row r="318" spans="7:7" ht="15.75" customHeight="1" x14ac:dyDescent="0.2">
      <c r="G318" s="69"/>
    </row>
    <row r="319" spans="7:7" ht="15.75" customHeight="1" x14ac:dyDescent="0.2">
      <c r="G319" s="69"/>
    </row>
    <row r="320" spans="7:7" ht="15.75" customHeight="1" x14ac:dyDescent="0.2">
      <c r="G320" s="69"/>
    </row>
    <row r="321" spans="7:7" ht="15.75" customHeight="1" x14ac:dyDescent="0.2">
      <c r="G321" s="69"/>
    </row>
    <row r="322" spans="7:7" ht="15.75" customHeight="1" x14ac:dyDescent="0.2">
      <c r="G322" s="69"/>
    </row>
    <row r="323" spans="7:7" ht="15.75" customHeight="1" x14ac:dyDescent="0.2">
      <c r="G323" s="69"/>
    </row>
    <row r="324" spans="7:7" ht="15.75" customHeight="1" x14ac:dyDescent="0.2">
      <c r="G324" s="69"/>
    </row>
    <row r="325" spans="7:7" ht="15.75" customHeight="1" x14ac:dyDescent="0.2">
      <c r="G325" s="69"/>
    </row>
    <row r="326" spans="7:7" ht="15.75" customHeight="1" x14ac:dyDescent="0.2">
      <c r="G326" s="69"/>
    </row>
    <row r="327" spans="7:7" ht="15.75" customHeight="1" x14ac:dyDescent="0.2">
      <c r="G327" s="69"/>
    </row>
    <row r="328" spans="7:7" ht="15.75" customHeight="1" x14ac:dyDescent="0.2">
      <c r="G328" s="69"/>
    </row>
    <row r="329" spans="7:7" ht="15.75" customHeight="1" x14ac:dyDescent="0.2">
      <c r="G329" s="69"/>
    </row>
    <row r="330" spans="7:7" ht="15.75" customHeight="1" x14ac:dyDescent="0.2">
      <c r="G330" s="69"/>
    </row>
    <row r="331" spans="7:7" ht="15.75" customHeight="1" x14ac:dyDescent="0.2">
      <c r="G331" s="69"/>
    </row>
    <row r="332" spans="7:7" ht="15.75" customHeight="1" x14ac:dyDescent="0.2">
      <c r="G332" s="69"/>
    </row>
    <row r="333" spans="7:7" ht="15.75" customHeight="1" x14ac:dyDescent="0.2">
      <c r="G333" s="69"/>
    </row>
    <row r="334" spans="7:7" ht="15.75" customHeight="1" x14ac:dyDescent="0.2">
      <c r="G334" s="69"/>
    </row>
    <row r="335" spans="7:7" ht="15.75" customHeight="1" x14ac:dyDescent="0.2">
      <c r="G335" s="69"/>
    </row>
    <row r="336" spans="7:7" ht="15.75" customHeight="1" x14ac:dyDescent="0.2">
      <c r="G336" s="69"/>
    </row>
    <row r="337" spans="7:7" ht="15.75" customHeight="1" x14ac:dyDescent="0.2">
      <c r="G337" s="69"/>
    </row>
    <row r="338" spans="7:7" ht="15.75" customHeight="1" x14ac:dyDescent="0.2">
      <c r="G338" s="69"/>
    </row>
    <row r="339" spans="7:7" ht="15.75" customHeight="1" x14ac:dyDescent="0.2">
      <c r="G339" s="69"/>
    </row>
    <row r="340" spans="7:7" ht="15.75" customHeight="1" x14ac:dyDescent="0.2">
      <c r="G340" s="69"/>
    </row>
    <row r="341" spans="7:7" ht="15.75" customHeight="1" x14ac:dyDescent="0.2">
      <c r="G341" s="69"/>
    </row>
    <row r="342" spans="7:7" ht="15.75" customHeight="1" x14ac:dyDescent="0.2">
      <c r="G342" s="69"/>
    </row>
    <row r="343" spans="7:7" ht="15.75" customHeight="1" x14ac:dyDescent="0.2">
      <c r="G343" s="69"/>
    </row>
    <row r="344" spans="7:7" ht="15.75" customHeight="1" x14ac:dyDescent="0.2">
      <c r="G344" s="69"/>
    </row>
    <row r="345" spans="7:7" ht="15.75" customHeight="1" x14ac:dyDescent="0.2">
      <c r="G345" s="69"/>
    </row>
    <row r="346" spans="7:7" ht="15.75" customHeight="1" x14ac:dyDescent="0.2">
      <c r="G346" s="69"/>
    </row>
    <row r="347" spans="7:7" ht="15.75" customHeight="1" x14ac:dyDescent="0.2">
      <c r="G347" s="69"/>
    </row>
    <row r="348" spans="7:7" ht="15.75" customHeight="1" x14ac:dyDescent="0.2">
      <c r="G348" s="69"/>
    </row>
    <row r="349" spans="7:7" ht="15.75" customHeight="1" x14ac:dyDescent="0.2">
      <c r="G349" s="69"/>
    </row>
    <row r="350" spans="7:7" ht="15.75" customHeight="1" x14ac:dyDescent="0.2">
      <c r="G350" s="69"/>
    </row>
    <row r="351" spans="7:7" ht="15.75" customHeight="1" x14ac:dyDescent="0.2">
      <c r="G351" s="69"/>
    </row>
    <row r="352" spans="7:7" ht="15.75" customHeight="1" x14ac:dyDescent="0.2">
      <c r="G352" s="69"/>
    </row>
    <row r="353" spans="7:7" ht="15.75" customHeight="1" x14ac:dyDescent="0.2">
      <c r="G353" s="69"/>
    </row>
    <row r="354" spans="7:7" ht="15.75" customHeight="1" x14ac:dyDescent="0.2">
      <c r="G354" s="69"/>
    </row>
    <row r="355" spans="7:7" ht="15.75" customHeight="1" x14ac:dyDescent="0.2">
      <c r="G355" s="69"/>
    </row>
    <row r="356" spans="7:7" ht="15.75" customHeight="1" x14ac:dyDescent="0.2">
      <c r="G356" s="69"/>
    </row>
    <row r="357" spans="7:7" ht="15.75" customHeight="1" x14ac:dyDescent="0.2">
      <c r="G357" s="69"/>
    </row>
    <row r="358" spans="7:7" ht="15.75" customHeight="1" x14ac:dyDescent="0.2">
      <c r="G358" s="69"/>
    </row>
    <row r="359" spans="7:7" ht="15.75" customHeight="1" x14ac:dyDescent="0.2">
      <c r="G359" s="69"/>
    </row>
    <row r="360" spans="7:7" ht="15.75" customHeight="1" x14ac:dyDescent="0.2">
      <c r="G360" s="69"/>
    </row>
    <row r="361" spans="7:7" ht="15.75" customHeight="1" x14ac:dyDescent="0.2">
      <c r="G361" s="69"/>
    </row>
    <row r="362" spans="7:7" ht="15.75" customHeight="1" x14ac:dyDescent="0.2">
      <c r="G362" s="69"/>
    </row>
    <row r="363" spans="7:7" ht="15.75" customHeight="1" x14ac:dyDescent="0.2">
      <c r="G363" s="69"/>
    </row>
    <row r="364" spans="7:7" ht="15.75" customHeight="1" x14ac:dyDescent="0.2">
      <c r="G364" s="69"/>
    </row>
    <row r="365" spans="7:7" ht="15.75" customHeight="1" x14ac:dyDescent="0.2">
      <c r="G365" s="69"/>
    </row>
    <row r="366" spans="7:7" ht="15.75" customHeight="1" x14ac:dyDescent="0.2">
      <c r="G366" s="69"/>
    </row>
    <row r="367" spans="7:7" ht="15.75" customHeight="1" x14ac:dyDescent="0.2">
      <c r="G367" s="69"/>
    </row>
    <row r="368" spans="7:7" ht="15.75" customHeight="1" x14ac:dyDescent="0.2">
      <c r="G368" s="69"/>
    </row>
    <row r="369" spans="7:7" ht="15.75" customHeight="1" x14ac:dyDescent="0.2">
      <c r="G369" s="69"/>
    </row>
    <row r="370" spans="7:7" ht="15.75" customHeight="1" x14ac:dyDescent="0.2">
      <c r="G370" s="69"/>
    </row>
    <row r="371" spans="7:7" ht="15.75" customHeight="1" x14ac:dyDescent="0.2">
      <c r="G371" s="69"/>
    </row>
    <row r="372" spans="7:7" ht="15.75" customHeight="1" x14ac:dyDescent="0.2">
      <c r="G372" s="69"/>
    </row>
    <row r="373" spans="7:7" ht="15.75" customHeight="1" x14ac:dyDescent="0.2">
      <c r="G373" s="69"/>
    </row>
    <row r="374" spans="7:7" ht="15.75" customHeight="1" x14ac:dyDescent="0.2">
      <c r="G374" s="69"/>
    </row>
    <row r="375" spans="7:7" ht="15.75" customHeight="1" x14ac:dyDescent="0.2">
      <c r="G375" s="69"/>
    </row>
    <row r="376" spans="7:7" ht="15.75" customHeight="1" x14ac:dyDescent="0.2">
      <c r="G376" s="69"/>
    </row>
    <row r="377" spans="7:7" ht="15.75" customHeight="1" x14ac:dyDescent="0.2">
      <c r="G377" s="69"/>
    </row>
    <row r="378" spans="7:7" ht="15.75" customHeight="1" x14ac:dyDescent="0.2">
      <c r="G378" s="69"/>
    </row>
    <row r="379" spans="7:7" ht="15.75" customHeight="1" x14ac:dyDescent="0.2">
      <c r="G379" s="69"/>
    </row>
    <row r="380" spans="7:7" ht="15.75" customHeight="1" x14ac:dyDescent="0.2">
      <c r="G380" s="69"/>
    </row>
    <row r="381" spans="7:7" ht="15.75" customHeight="1" x14ac:dyDescent="0.2">
      <c r="G381" s="69"/>
    </row>
    <row r="382" spans="7:7" ht="15.75" customHeight="1" x14ac:dyDescent="0.2">
      <c r="G382" s="69"/>
    </row>
    <row r="383" spans="7:7" ht="15.75" customHeight="1" x14ac:dyDescent="0.2">
      <c r="G383" s="69"/>
    </row>
    <row r="384" spans="7:7" ht="15.75" customHeight="1" x14ac:dyDescent="0.2">
      <c r="G384" s="69"/>
    </row>
    <row r="385" spans="7:7" ht="15.75" customHeight="1" x14ac:dyDescent="0.2">
      <c r="G385" s="69"/>
    </row>
    <row r="386" spans="7:7" ht="15.75" customHeight="1" x14ac:dyDescent="0.2">
      <c r="G386" s="69"/>
    </row>
    <row r="387" spans="7:7" ht="15.75" customHeight="1" x14ac:dyDescent="0.2">
      <c r="G387" s="69"/>
    </row>
    <row r="388" spans="7:7" ht="15.75" customHeight="1" x14ac:dyDescent="0.2">
      <c r="G388" s="69"/>
    </row>
    <row r="389" spans="7:7" ht="15.75" customHeight="1" x14ac:dyDescent="0.2">
      <c r="G389" s="69"/>
    </row>
    <row r="390" spans="7:7" ht="15.75" customHeight="1" x14ac:dyDescent="0.2">
      <c r="G390" s="69"/>
    </row>
    <row r="391" spans="7:7" ht="15.75" customHeight="1" x14ac:dyDescent="0.2">
      <c r="G391" s="69"/>
    </row>
    <row r="392" spans="7:7" ht="15.75" customHeight="1" x14ac:dyDescent="0.2">
      <c r="G392" s="69"/>
    </row>
    <row r="393" spans="7:7" ht="15.75" customHeight="1" x14ac:dyDescent="0.2">
      <c r="G393" s="69"/>
    </row>
    <row r="394" spans="7:7" ht="15.75" customHeight="1" x14ac:dyDescent="0.2">
      <c r="G394" s="69"/>
    </row>
    <row r="395" spans="7:7" ht="15.75" customHeight="1" x14ac:dyDescent="0.2">
      <c r="G395" s="69"/>
    </row>
    <row r="396" spans="7:7" ht="15.75" customHeight="1" x14ac:dyDescent="0.2">
      <c r="G396" s="69"/>
    </row>
    <row r="397" spans="7:7" ht="15.75" customHeight="1" x14ac:dyDescent="0.2">
      <c r="G397" s="69"/>
    </row>
    <row r="398" spans="7:7" ht="15.75" customHeight="1" x14ac:dyDescent="0.2">
      <c r="G398" s="69"/>
    </row>
    <row r="399" spans="7:7" ht="15.75" customHeight="1" x14ac:dyDescent="0.2">
      <c r="G399" s="69"/>
    </row>
    <row r="400" spans="7:7" ht="15.75" customHeight="1" x14ac:dyDescent="0.2">
      <c r="G400" s="69"/>
    </row>
    <row r="401" spans="7:7" ht="15.75" customHeight="1" x14ac:dyDescent="0.2">
      <c r="G401" s="69"/>
    </row>
    <row r="402" spans="7:7" ht="15.75" customHeight="1" x14ac:dyDescent="0.2">
      <c r="G402" s="69"/>
    </row>
    <row r="403" spans="7:7" ht="15.75" customHeight="1" x14ac:dyDescent="0.2">
      <c r="G403" s="69"/>
    </row>
    <row r="404" spans="7:7" ht="15.75" customHeight="1" x14ac:dyDescent="0.2">
      <c r="G404" s="69"/>
    </row>
    <row r="405" spans="7:7" ht="15.75" customHeight="1" x14ac:dyDescent="0.2">
      <c r="G405" s="69"/>
    </row>
    <row r="406" spans="7:7" ht="15.75" customHeight="1" x14ac:dyDescent="0.2">
      <c r="G406" s="69"/>
    </row>
    <row r="407" spans="7:7" ht="15.75" customHeight="1" x14ac:dyDescent="0.2">
      <c r="G407" s="69"/>
    </row>
    <row r="408" spans="7:7" ht="15.75" customHeight="1" x14ac:dyDescent="0.2">
      <c r="G408" s="69"/>
    </row>
    <row r="409" spans="7:7" ht="15.75" customHeight="1" x14ac:dyDescent="0.2">
      <c r="G409" s="69"/>
    </row>
    <row r="410" spans="7:7" ht="15.75" customHeight="1" x14ac:dyDescent="0.2">
      <c r="G410" s="69"/>
    </row>
    <row r="411" spans="7:7" ht="15.75" customHeight="1" x14ac:dyDescent="0.2">
      <c r="G411" s="69"/>
    </row>
    <row r="412" spans="7:7" ht="15.75" customHeight="1" x14ac:dyDescent="0.2">
      <c r="G412" s="69"/>
    </row>
    <row r="413" spans="7:7" ht="15.75" customHeight="1" x14ac:dyDescent="0.2">
      <c r="G413" s="69"/>
    </row>
    <row r="414" spans="7:7" ht="15.75" customHeight="1" x14ac:dyDescent="0.2">
      <c r="G414" s="69"/>
    </row>
    <row r="415" spans="7:7" ht="15.75" customHeight="1" x14ac:dyDescent="0.2">
      <c r="G415" s="69"/>
    </row>
    <row r="416" spans="7:7" ht="15.75" customHeight="1" x14ac:dyDescent="0.2">
      <c r="G416" s="69"/>
    </row>
    <row r="417" spans="7:7" ht="15.75" customHeight="1" x14ac:dyDescent="0.2">
      <c r="G417" s="69"/>
    </row>
    <row r="418" spans="7:7" ht="15.75" customHeight="1" x14ac:dyDescent="0.2">
      <c r="G418" s="69"/>
    </row>
    <row r="419" spans="7:7" ht="15.75" customHeight="1" x14ac:dyDescent="0.2">
      <c r="G419" s="69"/>
    </row>
    <row r="420" spans="7:7" ht="15.75" customHeight="1" x14ac:dyDescent="0.2">
      <c r="G420" s="69"/>
    </row>
    <row r="421" spans="7:7" ht="15.75" customHeight="1" x14ac:dyDescent="0.2">
      <c r="G421" s="69"/>
    </row>
    <row r="422" spans="7:7" ht="15.75" customHeight="1" x14ac:dyDescent="0.2">
      <c r="G422" s="69"/>
    </row>
    <row r="423" spans="7:7" ht="15.75" customHeight="1" x14ac:dyDescent="0.2">
      <c r="G423" s="69"/>
    </row>
    <row r="424" spans="7:7" ht="15.75" customHeight="1" x14ac:dyDescent="0.2">
      <c r="G424" s="69"/>
    </row>
    <row r="425" spans="7:7" ht="15.75" customHeight="1" x14ac:dyDescent="0.2">
      <c r="G425" s="69"/>
    </row>
    <row r="426" spans="7:7" ht="15.75" customHeight="1" x14ac:dyDescent="0.2">
      <c r="G426" s="69"/>
    </row>
    <row r="427" spans="7:7" ht="15.75" customHeight="1" x14ac:dyDescent="0.2">
      <c r="G427" s="69"/>
    </row>
    <row r="428" spans="7:7" ht="15.75" customHeight="1" x14ac:dyDescent="0.2">
      <c r="G428" s="69"/>
    </row>
    <row r="429" spans="7:7" ht="15.75" customHeight="1" x14ac:dyDescent="0.2">
      <c r="G429" s="69"/>
    </row>
    <row r="430" spans="7:7" ht="15.75" customHeight="1" x14ac:dyDescent="0.2">
      <c r="G430" s="69"/>
    </row>
    <row r="431" spans="7:7" ht="15.75" customHeight="1" x14ac:dyDescent="0.2">
      <c r="G431" s="69"/>
    </row>
    <row r="432" spans="7:7" ht="15.75" customHeight="1" x14ac:dyDescent="0.2">
      <c r="G432" s="69"/>
    </row>
    <row r="433" spans="7:7" ht="15.75" customHeight="1" x14ac:dyDescent="0.2">
      <c r="G433" s="69"/>
    </row>
    <row r="434" spans="7:7" ht="15.75" customHeight="1" x14ac:dyDescent="0.2">
      <c r="G434" s="69"/>
    </row>
    <row r="435" spans="7:7" ht="15.75" customHeight="1" x14ac:dyDescent="0.2">
      <c r="G435" s="69"/>
    </row>
    <row r="436" spans="7:7" ht="15.75" customHeight="1" x14ac:dyDescent="0.2">
      <c r="G436" s="69"/>
    </row>
    <row r="437" spans="7:7" ht="15.75" customHeight="1" x14ac:dyDescent="0.2">
      <c r="G437" s="69"/>
    </row>
    <row r="438" spans="7:7" ht="15.75" customHeight="1" x14ac:dyDescent="0.2">
      <c r="G438" s="69"/>
    </row>
    <row r="439" spans="7:7" ht="15.75" customHeight="1" x14ac:dyDescent="0.2">
      <c r="G439" s="69"/>
    </row>
    <row r="440" spans="7:7" ht="15.75" customHeight="1" x14ac:dyDescent="0.2">
      <c r="G440" s="69"/>
    </row>
    <row r="441" spans="7:7" ht="15.75" customHeight="1" x14ac:dyDescent="0.2">
      <c r="G441" s="69"/>
    </row>
    <row r="442" spans="7:7" ht="15.75" customHeight="1" x14ac:dyDescent="0.2">
      <c r="G442" s="69"/>
    </row>
    <row r="443" spans="7:7" ht="15.75" customHeight="1" x14ac:dyDescent="0.2">
      <c r="G443" s="69"/>
    </row>
    <row r="444" spans="7:7" ht="15.75" customHeight="1" x14ac:dyDescent="0.2">
      <c r="G444" s="69"/>
    </row>
    <row r="445" spans="7:7" ht="15.75" customHeight="1" x14ac:dyDescent="0.2">
      <c r="G445" s="69"/>
    </row>
    <row r="446" spans="7:7" ht="15.75" customHeight="1" x14ac:dyDescent="0.2">
      <c r="G446" s="69"/>
    </row>
    <row r="447" spans="7:7" ht="15.75" customHeight="1" x14ac:dyDescent="0.2">
      <c r="G447" s="69"/>
    </row>
    <row r="448" spans="7:7" ht="15.75" customHeight="1" x14ac:dyDescent="0.2">
      <c r="G448" s="69"/>
    </row>
    <row r="449" spans="7:7" ht="15.75" customHeight="1" x14ac:dyDescent="0.2">
      <c r="G449" s="69"/>
    </row>
    <row r="450" spans="7:7" ht="15.75" customHeight="1" x14ac:dyDescent="0.2">
      <c r="G450" s="69"/>
    </row>
    <row r="451" spans="7:7" ht="15.75" customHeight="1" x14ac:dyDescent="0.2">
      <c r="G451" s="69"/>
    </row>
    <row r="452" spans="7:7" ht="15.75" customHeight="1" x14ac:dyDescent="0.2">
      <c r="G452" s="69"/>
    </row>
    <row r="453" spans="7:7" ht="15.75" customHeight="1" x14ac:dyDescent="0.2">
      <c r="G453" s="69"/>
    </row>
    <row r="454" spans="7:7" ht="15.75" customHeight="1" x14ac:dyDescent="0.2">
      <c r="G454" s="69"/>
    </row>
    <row r="455" spans="7:7" ht="15.75" customHeight="1" x14ac:dyDescent="0.2">
      <c r="G455" s="69"/>
    </row>
    <row r="456" spans="7:7" ht="15.75" customHeight="1" x14ac:dyDescent="0.2">
      <c r="G456" s="69"/>
    </row>
    <row r="457" spans="7:7" ht="15.75" customHeight="1" x14ac:dyDescent="0.2">
      <c r="G457" s="69"/>
    </row>
    <row r="458" spans="7:7" ht="15.75" customHeight="1" x14ac:dyDescent="0.2">
      <c r="G458" s="69"/>
    </row>
    <row r="459" spans="7:7" ht="15.75" customHeight="1" x14ac:dyDescent="0.2">
      <c r="G459" s="69"/>
    </row>
    <row r="460" spans="7:7" ht="15.75" customHeight="1" x14ac:dyDescent="0.2">
      <c r="G460" s="69"/>
    </row>
    <row r="461" spans="7:7" ht="15.75" customHeight="1" x14ac:dyDescent="0.2">
      <c r="G461" s="69"/>
    </row>
    <row r="462" spans="7:7" ht="15.75" customHeight="1" x14ac:dyDescent="0.2">
      <c r="G462" s="69"/>
    </row>
    <row r="463" spans="7:7" ht="15.75" customHeight="1" x14ac:dyDescent="0.2">
      <c r="G463" s="69"/>
    </row>
    <row r="464" spans="7:7" ht="15.75" customHeight="1" x14ac:dyDescent="0.2">
      <c r="G464" s="69"/>
    </row>
    <row r="465" spans="7:7" ht="15.75" customHeight="1" x14ac:dyDescent="0.2">
      <c r="G465" s="69"/>
    </row>
    <row r="466" spans="7:7" ht="15.75" customHeight="1" x14ac:dyDescent="0.2">
      <c r="G466" s="69"/>
    </row>
    <row r="467" spans="7:7" ht="15.75" customHeight="1" x14ac:dyDescent="0.2">
      <c r="G467" s="69"/>
    </row>
    <row r="468" spans="7:7" ht="15.75" customHeight="1" x14ac:dyDescent="0.2">
      <c r="G468" s="69"/>
    </row>
    <row r="469" spans="7:7" ht="15.75" customHeight="1" x14ac:dyDescent="0.2">
      <c r="G469" s="69"/>
    </row>
    <row r="470" spans="7:7" ht="15.75" customHeight="1" x14ac:dyDescent="0.2">
      <c r="G470" s="69"/>
    </row>
    <row r="471" spans="7:7" ht="15.75" customHeight="1" x14ac:dyDescent="0.2">
      <c r="G471" s="69"/>
    </row>
    <row r="472" spans="7:7" ht="15.75" customHeight="1" x14ac:dyDescent="0.2">
      <c r="G472" s="69"/>
    </row>
    <row r="473" spans="7:7" ht="15.75" customHeight="1" x14ac:dyDescent="0.2">
      <c r="G473" s="69"/>
    </row>
    <row r="474" spans="7:7" ht="15.75" customHeight="1" x14ac:dyDescent="0.2">
      <c r="G474" s="69"/>
    </row>
    <row r="475" spans="7:7" ht="15.75" customHeight="1" x14ac:dyDescent="0.2">
      <c r="G475" s="69"/>
    </row>
    <row r="476" spans="7:7" ht="15.75" customHeight="1" x14ac:dyDescent="0.2">
      <c r="G476" s="69"/>
    </row>
    <row r="477" spans="7:7" ht="15.75" customHeight="1" x14ac:dyDescent="0.2">
      <c r="G477" s="69"/>
    </row>
    <row r="478" spans="7:7" ht="15.75" customHeight="1" x14ac:dyDescent="0.2">
      <c r="G478" s="69"/>
    </row>
    <row r="479" spans="7:7" ht="15.75" customHeight="1" x14ac:dyDescent="0.2">
      <c r="G479" s="69"/>
    </row>
    <row r="480" spans="7:7" ht="15.75" customHeight="1" x14ac:dyDescent="0.2">
      <c r="G480" s="69"/>
    </row>
    <row r="481" spans="7:7" ht="15.75" customHeight="1" x14ac:dyDescent="0.2">
      <c r="G481" s="69"/>
    </row>
    <row r="482" spans="7:7" ht="15.75" customHeight="1" x14ac:dyDescent="0.2">
      <c r="G482" s="69"/>
    </row>
    <row r="483" spans="7:7" ht="15.75" customHeight="1" x14ac:dyDescent="0.2">
      <c r="G483" s="69"/>
    </row>
    <row r="484" spans="7:7" ht="15.75" customHeight="1" x14ac:dyDescent="0.2">
      <c r="G484" s="69"/>
    </row>
    <row r="485" spans="7:7" ht="15.75" customHeight="1" x14ac:dyDescent="0.2">
      <c r="G485" s="69"/>
    </row>
    <row r="486" spans="7:7" ht="15.75" customHeight="1" x14ac:dyDescent="0.2">
      <c r="G486" s="69"/>
    </row>
    <row r="487" spans="7:7" ht="15.75" customHeight="1" x14ac:dyDescent="0.2">
      <c r="G487" s="69"/>
    </row>
    <row r="488" spans="7:7" ht="15.75" customHeight="1" x14ac:dyDescent="0.2">
      <c r="G488" s="69"/>
    </row>
    <row r="489" spans="7:7" ht="15.75" customHeight="1" x14ac:dyDescent="0.2">
      <c r="G489" s="69"/>
    </row>
    <row r="490" spans="7:7" ht="15.75" customHeight="1" x14ac:dyDescent="0.2">
      <c r="G490" s="69"/>
    </row>
    <row r="491" spans="7:7" ht="15.75" customHeight="1" x14ac:dyDescent="0.2">
      <c r="G491" s="69"/>
    </row>
    <row r="492" spans="7:7" ht="15.75" customHeight="1" x14ac:dyDescent="0.2">
      <c r="G492" s="69"/>
    </row>
    <row r="493" spans="7:7" ht="15.75" customHeight="1" x14ac:dyDescent="0.2">
      <c r="G493" s="69"/>
    </row>
    <row r="494" spans="7:7" ht="15.75" customHeight="1" x14ac:dyDescent="0.2">
      <c r="G494" s="69"/>
    </row>
    <row r="495" spans="7:7" ht="15.75" customHeight="1" x14ac:dyDescent="0.2">
      <c r="G495" s="69"/>
    </row>
    <row r="496" spans="7:7" ht="15.75" customHeight="1" x14ac:dyDescent="0.2">
      <c r="G496" s="69"/>
    </row>
    <row r="497" spans="7:7" ht="15.75" customHeight="1" x14ac:dyDescent="0.2">
      <c r="G497" s="69"/>
    </row>
    <row r="498" spans="7:7" ht="15.75" customHeight="1" x14ac:dyDescent="0.2">
      <c r="G498" s="69"/>
    </row>
    <row r="499" spans="7:7" ht="15.75" customHeight="1" x14ac:dyDescent="0.2">
      <c r="G499" s="69"/>
    </row>
    <row r="500" spans="7:7" ht="15.75" customHeight="1" x14ac:dyDescent="0.2">
      <c r="G500" s="69"/>
    </row>
    <row r="501" spans="7:7" ht="15.75" customHeight="1" x14ac:dyDescent="0.2">
      <c r="G501" s="69"/>
    </row>
    <row r="502" spans="7:7" ht="15.75" customHeight="1" x14ac:dyDescent="0.2">
      <c r="G502" s="69"/>
    </row>
    <row r="503" spans="7:7" ht="15.75" customHeight="1" x14ac:dyDescent="0.2">
      <c r="G503" s="69"/>
    </row>
    <row r="504" spans="7:7" ht="15.75" customHeight="1" x14ac:dyDescent="0.2">
      <c r="G504" s="69"/>
    </row>
    <row r="505" spans="7:7" ht="15.75" customHeight="1" x14ac:dyDescent="0.2">
      <c r="G505" s="69"/>
    </row>
    <row r="506" spans="7:7" ht="15.75" customHeight="1" x14ac:dyDescent="0.2">
      <c r="G506" s="69"/>
    </row>
    <row r="507" spans="7:7" ht="15.75" customHeight="1" x14ac:dyDescent="0.2">
      <c r="G507" s="69"/>
    </row>
    <row r="508" spans="7:7" ht="15.75" customHeight="1" x14ac:dyDescent="0.2">
      <c r="G508" s="69"/>
    </row>
    <row r="509" spans="7:7" ht="15.75" customHeight="1" x14ac:dyDescent="0.2">
      <c r="G509" s="69"/>
    </row>
    <row r="510" spans="7:7" ht="15.75" customHeight="1" x14ac:dyDescent="0.2">
      <c r="G510" s="69"/>
    </row>
    <row r="511" spans="7:7" ht="15.75" customHeight="1" x14ac:dyDescent="0.2">
      <c r="G511" s="69"/>
    </row>
    <row r="512" spans="7:7" ht="15.75" customHeight="1" x14ac:dyDescent="0.2">
      <c r="G512" s="69"/>
    </row>
    <row r="513" spans="7:7" ht="15.75" customHeight="1" x14ac:dyDescent="0.2">
      <c r="G513" s="69"/>
    </row>
    <row r="514" spans="7:7" ht="15.75" customHeight="1" x14ac:dyDescent="0.2">
      <c r="G514" s="69"/>
    </row>
    <row r="515" spans="7:7" ht="15.75" customHeight="1" x14ac:dyDescent="0.2">
      <c r="G515" s="69"/>
    </row>
    <row r="516" spans="7:7" ht="15.75" customHeight="1" x14ac:dyDescent="0.2">
      <c r="G516" s="69"/>
    </row>
    <row r="517" spans="7:7" ht="15.75" customHeight="1" x14ac:dyDescent="0.2">
      <c r="G517" s="69"/>
    </row>
    <row r="518" spans="7:7" ht="15.75" customHeight="1" x14ac:dyDescent="0.2">
      <c r="G518" s="69"/>
    </row>
    <row r="519" spans="7:7" ht="15.75" customHeight="1" x14ac:dyDescent="0.2">
      <c r="G519" s="69"/>
    </row>
    <row r="520" spans="7:7" ht="15.75" customHeight="1" x14ac:dyDescent="0.2">
      <c r="G520" s="69"/>
    </row>
    <row r="521" spans="7:7" ht="15.75" customHeight="1" x14ac:dyDescent="0.2">
      <c r="G521" s="69"/>
    </row>
    <row r="522" spans="7:7" ht="15.75" customHeight="1" x14ac:dyDescent="0.2">
      <c r="G522" s="69"/>
    </row>
    <row r="523" spans="7:7" ht="15.75" customHeight="1" x14ac:dyDescent="0.2">
      <c r="G523" s="69"/>
    </row>
    <row r="524" spans="7:7" ht="15.75" customHeight="1" x14ac:dyDescent="0.2">
      <c r="G524" s="69"/>
    </row>
    <row r="525" spans="7:7" ht="15.75" customHeight="1" x14ac:dyDescent="0.2">
      <c r="G525" s="69"/>
    </row>
    <row r="526" spans="7:7" ht="15.75" customHeight="1" x14ac:dyDescent="0.2">
      <c r="G526" s="69"/>
    </row>
    <row r="527" spans="7:7" ht="15.75" customHeight="1" x14ac:dyDescent="0.2">
      <c r="G527" s="69"/>
    </row>
    <row r="528" spans="7:7" ht="15.75" customHeight="1" x14ac:dyDescent="0.2">
      <c r="G528" s="69"/>
    </row>
    <row r="529" spans="7:7" ht="15.75" customHeight="1" x14ac:dyDescent="0.2">
      <c r="G529" s="69"/>
    </row>
    <row r="530" spans="7:7" ht="15.75" customHeight="1" x14ac:dyDescent="0.2">
      <c r="G530" s="69"/>
    </row>
    <row r="531" spans="7:7" ht="15.75" customHeight="1" x14ac:dyDescent="0.2">
      <c r="G531" s="69"/>
    </row>
    <row r="532" spans="7:7" ht="15.75" customHeight="1" x14ac:dyDescent="0.2">
      <c r="G532" s="69"/>
    </row>
    <row r="533" spans="7:7" ht="15.75" customHeight="1" x14ac:dyDescent="0.2">
      <c r="G533" s="69"/>
    </row>
    <row r="534" spans="7:7" ht="15.75" customHeight="1" x14ac:dyDescent="0.2">
      <c r="G534" s="69"/>
    </row>
    <row r="535" spans="7:7" ht="15.75" customHeight="1" x14ac:dyDescent="0.2">
      <c r="G535" s="69"/>
    </row>
    <row r="536" spans="7:7" ht="15.75" customHeight="1" x14ac:dyDescent="0.2">
      <c r="G536" s="69"/>
    </row>
    <row r="537" spans="7:7" ht="15.75" customHeight="1" x14ac:dyDescent="0.2">
      <c r="G537" s="69"/>
    </row>
    <row r="538" spans="7:7" ht="15.75" customHeight="1" x14ac:dyDescent="0.2">
      <c r="G538" s="69"/>
    </row>
    <row r="539" spans="7:7" ht="15.75" customHeight="1" x14ac:dyDescent="0.2">
      <c r="G539" s="69"/>
    </row>
    <row r="540" spans="7:7" ht="15.75" customHeight="1" x14ac:dyDescent="0.2">
      <c r="G540" s="69"/>
    </row>
    <row r="541" spans="7:7" ht="15.75" customHeight="1" x14ac:dyDescent="0.2">
      <c r="G541" s="69"/>
    </row>
    <row r="542" spans="7:7" ht="15.75" customHeight="1" x14ac:dyDescent="0.2">
      <c r="G542" s="69"/>
    </row>
    <row r="543" spans="7:7" ht="15.75" customHeight="1" x14ac:dyDescent="0.2">
      <c r="G543" s="69"/>
    </row>
    <row r="544" spans="7:7" ht="15.75" customHeight="1" x14ac:dyDescent="0.2">
      <c r="G544" s="69"/>
    </row>
    <row r="545" spans="7:7" ht="15.75" customHeight="1" x14ac:dyDescent="0.2">
      <c r="G545" s="69"/>
    </row>
    <row r="546" spans="7:7" ht="15.75" customHeight="1" x14ac:dyDescent="0.2">
      <c r="G546" s="69"/>
    </row>
    <row r="547" spans="7:7" ht="15.75" customHeight="1" x14ac:dyDescent="0.2">
      <c r="G547" s="69"/>
    </row>
    <row r="548" spans="7:7" ht="15.75" customHeight="1" x14ac:dyDescent="0.2">
      <c r="G548" s="69"/>
    </row>
    <row r="549" spans="7:7" ht="15.75" customHeight="1" x14ac:dyDescent="0.2">
      <c r="G549" s="69"/>
    </row>
    <row r="550" spans="7:7" ht="15.75" customHeight="1" x14ac:dyDescent="0.2">
      <c r="G550" s="69"/>
    </row>
    <row r="551" spans="7:7" ht="15.75" customHeight="1" x14ac:dyDescent="0.2">
      <c r="G551" s="69"/>
    </row>
    <row r="552" spans="7:7" ht="15.75" customHeight="1" x14ac:dyDescent="0.2">
      <c r="G552" s="69"/>
    </row>
    <row r="553" spans="7:7" ht="15.75" customHeight="1" x14ac:dyDescent="0.2">
      <c r="G553" s="69"/>
    </row>
    <row r="554" spans="7:7" ht="15.75" customHeight="1" x14ac:dyDescent="0.2">
      <c r="G554" s="69"/>
    </row>
    <row r="555" spans="7:7" ht="15.75" customHeight="1" x14ac:dyDescent="0.2">
      <c r="G555" s="69"/>
    </row>
    <row r="556" spans="7:7" ht="15.75" customHeight="1" x14ac:dyDescent="0.2">
      <c r="G556" s="69"/>
    </row>
    <row r="557" spans="7:7" ht="15.75" customHeight="1" x14ac:dyDescent="0.2">
      <c r="G557" s="69"/>
    </row>
    <row r="558" spans="7:7" ht="15.75" customHeight="1" x14ac:dyDescent="0.2">
      <c r="G558" s="69"/>
    </row>
    <row r="559" spans="7:7" ht="15.75" customHeight="1" x14ac:dyDescent="0.2">
      <c r="G559" s="69"/>
    </row>
    <row r="560" spans="7:7" ht="15.75" customHeight="1" x14ac:dyDescent="0.2">
      <c r="G560" s="69"/>
    </row>
    <row r="561" spans="7:7" ht="15.75" customHeight="1" x14ac:dyDescent="0.2">
      <c r="G561" s="69"/>
    </row>
    <row r="562" spans="7:7" ht="15.75" customHeight="1" x14ac:dyDescent="0.2">
      <c r="G562" s="69"/>
    </row>
    <row r="563" spans="7:7" ht="15.75" customHeight="1" x14ac:dyDescent="0.2">
      <c r="G563" s="69"/>
    </row>
    <row r="564" spans="7:7" ht="15.75" customHeight="1" x14ac:dyDescent="0.2">
      <c r="G564" s="69"/>
    </row>
    <row r="565" spans="7:7" ht="15.75" customHeight="1" x14ac:dyDescent="0.2">
      <c r="G565" s="69"/>
    </row>
    <row r="566" spans="7:7" ht="15.75" customHeight="1" x14ac:dyDescent="0.2">
      <c r="G566" s="69"/>
    </row>
    <row r="567" spans="7:7" ht="15.75" customHeight="1" x14ac:dyDescent="0.2">
      <c r="G567" s="69"/>
    </row>
    <row r="568" spans="7:7" ht="15.75" customHeight="1" x14ac:dyDescent="0.2">
      <c r="G568" s="69"/>
    </row>
    <row r="569" spans="7:7" ht="15.75" customHeight="1" x14ac:dyDescent="0.2">
      <c r="G569" s="69"/>
    </row>
    <row r="570" spans="7:7" ht="15.75" customHeight="1" x14ac:dyDescent="0.2">
      <c r="G570" s="69"/>
    </row>
    <row r="571" spans="7:7" ht="15.75" customHeight="1" x14ac:dyDescent="0.2">
      <c r="G571" s="69"/>
    </row>
    <row r="572" spans="7:7" ht="15.75" customHeight="1" x14ac:dyDescent="0.2">
      <c r="G572" s="69"/>
    </row>
    <row r="573" spans="7:7" ht="15.75" customHeight="1" x14ac:dyDescent="0.2">
      <c r="G573" s="69"/>
    </row>
    <row r="574" spans="7:7" ht="15.75" customHeight="1" x14ac:dyDescent="0.2">
      <c r="G574" s="69"/>
    </row>
    <row r="575" spans="7:7" ht="15.75" customHeight="1" x14ac:dyDescent="0.2">
      <c r="G575" s="69"/>
    </row>
    <row r="576" spans="7:7" ht="15.75" customHeight="1" x14ac:dyDescent="0.2">
      <c r="G576" s="69"/>
    </row>
    <row r="577" spans="7:7" ht="15.75" customHeight="1" x14ac:dyDescent="0.2">
      <c r="G577" s="69"/>
    </row>
    <row r="578" spans="7:7" ht="15.75" customHeight="1" x14ac:dyDescent="0.2">
      <c r="G578" s="69"/>
    </row>
    <row r="579" spans="7:7" ht="15.75" customHeight="1" x14ac:dyDescent="0.2">
      <c r="G579" s="69"/>
    </row>
    <row r="580" spans="7:7" ht="15.75" customHeight="1" x14ac:dyDescent="0.2">
      <c r="G580" s="69"/>
    </row>
    <row r="581" spans="7:7" ht="15.75" customHeight="1" x14ac:dyDescent="0.2">
      <c r="G581" s="69"/>
    </row>
    <row r="582" spans="7:7" ht="15.75" customHeight="1" x14ac:dyDescent="0.2">
      <c r="G582" s="69"/>
    </row>
    <row r="583" spans="7:7" ht="15.75" customHeight="1" x14ac:dyDescent="0.2">
      <c r="G583" s="69"/>
    </row>
    <row r="584" spans="7:7" ht="15.75" customHeight="1" x14ac:dyDescent="0.2">
      <c r="G584" s="69"/>
    </row>
    <row r="585" spans="7:7" ht="15.75" customHeight="1" x14ac:dyDescent="0.2">
      <c r="G585" s="69"/>
    </row>
    <row r="586" spans="7:7" ht="15.75" customHeight="1" x14ac:dyDescent="0.2">
      <c r="G586" s="69"/>
    </row>
    <row r="587" spans="7:7" ht="15.75" customHeight="1" x14ac:dyDescent="0.2">
      <c r="G587" s="69"/>
    </row>
    <row r="588" spans="7:7" ht="15.75" customHeight="1" x14ac:dyDescent="0.2">
      <c r="G588" s="69"/>
    </row>
    <row r="589" spans="7:7" ht="15.75" customHeight="1" x14ac:dyDescent="0.2">
      <c r="G589" s="69"/>
    </row>
    <row r="590" spans="7:7" ht="15.75" customHeight="1" x14ac:dyDescent="0.2">
      <c r="G590" s="69"/>
    </row>
    <row r="591" spans="7:7" ht="15.75" customHeight="1" x14ac:dyDescent="0.2">
      <c r="G591" s="69"/>
    </row>
    <row r="592" spans="7:7" ht="15.75" customHeight="1" x14ac:dyDescent="0.2">
      <c r="G592" s="69"/>
    </row>
    <row r="593" spans="7:7" ht="15.75" customHeight="1" x14ac:dyDescent="0.2">
      <c r="G593" s="69"/>
    </row>
    <row r="594" spans="7:7" ht="15.75" customHeight="1" x14ac:dyDescent="0.2">
      <c r="G594" s="69"/>
    </row>
    <row r="595" spans="7:7" ht="15.75" customHeight="1" x14ac:dyDescent="0.2">
      <c r="G595" s="69"/>
    </row>
    <row r="596" spans="7:7" ht="15.75" customHeight="1" x14ac:dyDescent="0.2">
      <c r="G596" s="69"/>
    </row>
    <row r="597" spans="7:7" ht="15.75" customHeight="1" x14ac:dyDescent="0.2">
      <c r="G597" s="69"/>
    </row>
    <row r="598" spans="7:7" ht="15.75" customHeight="1" x14ac:dyDescent="0.2">
      <c r="G598" s="69"/>
    </row>
    <row r="599" spans="7:7" ht="15.75" customHeight="1" x14ac:dyDescent="0.2">
      <c r="G599" s="69"/>
    </row>
    <row r="600" spans="7:7" ht="15.75" customHeight="1" x14ac:dyDescent="0.2">
      <c r="G600" s="69"/>
    </row>
    <row r="601" spans="7:7" ht="15.75" customHeight="1" x14ac:dyDescent="0.2">
      <c r="G601" s="69"/>
    </row>
    <row r="602" spans="7:7" ht="15.75" customHeight="1" x14ac:dyDescent="0.2">
      <c r="G602" s="69"/>
    </row>
    <row r="603" spans="7:7" ht="15.75" customHeight="1" x14ac:dyDescent="0.2">
      <c r="G603" s="69"/>
    </row>
    <row r="604" spans="7:7" ht="15.75" customHeight="1" x14ac:dyDescent="0.2">
      <c r="G604" s="69"/>
    </row>
    <row r="605" spans="7:7" ht="15.75" customHeight="1" x14ac:dyDescent="0.2">
      <c r="G605" s="69"/>
    </row>
    <row r="606" spans="7:7" ht="15.75" customHeight="1" x14ac:dyDescent="0.2">
      <c r="G606" s="69"/>
    </row>
    <row r="607" spans="7:7" ht="15.75" customHeight="1" x14ac:dyDescent="0.2">
      <c r="G607" s="69"/>
    </row>
    <row r="608" spans="7:7" ht="15.75" customHeight="1" x14ac:dyDescent="0.2">
      <c r="G608" s="69"/>
    </row>
    <row r="609" spans="7:7" ht="15.75" customHeight="1" x14ac:dyDescent="0.2">
      <c r="G609" s="69"/>
    </row>
    <row r="610" spans="7:7" ht="15.75" customHeight="1" x14ac:dyDescent="0.2">
      <c r="G610" s="69"/>
    </row>
    <row r="611" spans="7:7" ht="15.75" customHeight="1" x14ac:dyDescent="0.2">
      <c r="G611" s="69"/>
    </row>
    <row r="612" spans="7:7" ht="15.75" customHeight="1" x14ac:dyDescent="0.2">
      <c r="G612" s="69"/>
    </row>
    <row r="613" spans="7:7" ht="15.75" customHeight="1" x14ac:dyDescent="0.2">
      <c r="G613" s="69"/>
    </row>
    <row r="614" spans="7:7" ht="15.75" customHeight="1" x14ac:dyDescent="0.2">
      <c r="G614" s="69"/>
    </row>
    <row r="615" spans="7:7" ht="15.75" customHeight="1" x14ac:dyDescent="0.2">
      <c r="G615" s="69"/>
    </row>
    <row r="616" spans="7:7" ht="15.75" customHeight="1" x14ac:dyDescent="0.2">
      <c r="G616" s="69"/>
    </row>
    <row r="617" spans="7:7" ht="15.75" customHeight="1" x14ac:dyDescent="0.2">
      <c r="G617" s="69"/>
    </row>
    <row r="618" spans="7:7" ht="15.75" customHeight="1" x14ac:dyDescent="0.2">
      <c r="G618" s="69"/>
    </row>
    <row r="619" spans="7:7" ht="15.75" customHeight="1" x14ac:dyDescent="0.2">
      <c r="G619" s="69"/>
    </row>
    <row r="620" spans="7:7" ht="15.75" customHeight="1" x14ac:dyDescent="0.2">
      <c r="G620" s="69"/>
    </row>
    <row r="621" spans="7:7" ht="15.75" customHeight="1" x14ac:dyDescent="0.2">
      <c r="G621" s="69"/>
    </row>
    <row r="622" spans="7:7" ht="15.75" customHeight="1" x14ac:dyDescent="0.2">
      <c r="G622" s="69"/>
    </row>
    <row r="623" spans="7:7" ht="15.75" customHeight="1" x14ac:dyDescent="0.2">
      <c r="G623" s="69"/>
    </row>
    <row r="624" spans="7:7" ht="15.75" customHeight="1" x14ac:dyDescent="0.2">
      <c r="G624" s="69"/>
    </row>
    <row r="625" spans="7:7" ht="15.75" customHeight="1" x14ac:dyDescent="0.2">
      <c r="G625" s="69"/>
    </row>
    <row r="626" spans="7:7" ht="15.75" customHeight="1" x14ac:dyDescent="0.2">
      <c r="G626" s="69"/>
    </row>
    <row r="627" spans="7:7" ht="15.75" customHeight="1" x14ac:dyDescent="0.2">
      <c r="G627" s="69"/>
    </row>
    <row r="628" spans="7:7" ht="15.75" customHeight="1" x14ac:dyDescent="0.2">
      <c r="G628" s="69"/>
    </row>
    <row r="629" spans="7:7" ht="15.75" customHeight="1" x14ac:dyDescent="0.2">
      <c r="G629" s="69"/>
    </row>
    <row r="630" spans="7:7" ht="15.75" customHeight="1" x14ac:dyDescent="0.2">
      <c r="G630" s="69"/>
    </row>
    <row r="631" spans="7:7" ht="15.75" customHeight="1" x14ac:dyDescent="0.2">
      <c r="G631" s="69"/>
    </row>
    <row r="632" spans="7:7" ht="15.75" customHeight="1" x14ac:dyDescent="0.2">
      <c r="G632" s="69"/>
    </row>
    <row r="633" spans="7:7" ht="15.75" customHeight="1" x14ac:dyDescent="0.2">
      <c r="G633" s="69"/>
    </row>
    <row r="634" spans="7:7" ht="15.75" customHeight="1" x14ac:dyDescent="0.2">
      <c r="G634" s="69"/>
    </row>
    <row r="635" spans="7:7" ht="15.75" customHeight="1" x14ac:dyDescent="0.2">
      <c r="G635" s="69"/>
    </row>
    <row r="636" spans="7:7" ht="15.75" customHeight="1" x14ac:dyDescent="0.2">
      <c r="G636" s="69"/>
    </row>
    <row r="637" spans="7:7" ht="15.75" customHeight="1" x14ac:dyDescent="0.2">
      <c r="G637" s="69"/>
    </row>
    <row r="638" spans="7:7" ht="15.75" customHeight="1" x14ac:dyDescent="0.2">
      <c r="G638" s="69"/>
    </row>
    <row r="639" spans="7:7" ht="15.75" customHeight="1" x14ac:dyDescent="0.2">
      <c r="G639" s="69"/>
    </row>
    <row r="640" spans="7:7" ht="15.75" customHeight="1" x14ac:dyDescent="0.2">
      <c r="G640" s="69"/>
    </row>
    <row r="641" spans="7:7" ht="15.75" customHeight="1" x14ac:dyDescent="0.2">
      <c r="G641" s="69"/>
    </row>
    <row r="642" spans="7:7" ht="15.75" customHeight="1" x14ac:dyDescent="0.2">
      <c r="G642" s="69"/>
    </row>
    <row r="643" spans="7:7" ht="15.75" customHeight="1" x14ac:dyDescent="0.2">
      <c r="G643" s="69"/>
    </row>
    <row r="644" spans="7:7" ht="15.75" customHeight="1" x14ac:dyDescent="0.2">
      <c r="G644" s="69"/>
    </row>
    <row r="645" spans="7:7" ht="15.75" customHeight="1" x14ac:dyDescent="0.2">
      <c r="G645" s="69"/>
    </row>
    <row r="646" spans="7:7" ht="15.75" customHeight="1" x14ac:dyDescent="0.2">
      <c r="G646" s="69"/>
    </row>
    <row r="647" spans="7:7" ht="15.75" customHeight="1" x14ac:dyDescent="0.2">
      <c r="G647" s="69"/>
    </row>
    <row r="648" spans="7:7" ht="15.75" customHeight="1" x14ac:dyDescent="0.2">
      <c r="G648" s="69"/>
    </row>
    <row r="649" spans="7:7" ht="15.75" customHeight="1" x14ac:dyDescent="0.2">
      <c r="G649" s="69"/>
    </row>
    <row r="650" spans="7:7" ht="15.75" customHeight="1" x14ac:dyDescent="0.2">
      <c r="G650" s="69"/>
    </row>
    <row r="651" spans="7:7" ht="15.75" customHeight="1" x14ac:dyDescent="0.2">
      <c r="G651" s="69"/>
    </row>
    <row r="652" spans="7:7" ht="15.75" customHeight="1" x14ac:dyDescent="0.2">
      <c r="G652" s="69"/>
    </row>
    <row r="653" spans="7:7" ht="15.75" customHeight="1" x14ac:dyDescent="0.2">
      <c r="G653" s="69"/>
    </row>
    <row r="654" spans="7:7" ht="15.75" customHeight="1" x14ac:dyDescent="0.2">
      <c r="G654" s="69"/>
    </row>
    <row r="655" spans="7:7" ht="15.75" customHeight="1" x14ac:dyDescent="0.2">
      <c r="G655" s="69"/>
    </row>
    <row r="656" spans="7:7" ht="15.75" customHeight="1" x14ac:dyDescent="0.2">
      <c r="G656" s="69"/>
    </row>
    <row r="657" spans="7:7" ht="15.75" customHeight="1" x14ac:dyDescent="0.2">
      <c r="G657" s="69"/>
    </row>
    <row r="658" spans="7:7" ht="15.75" customHeight="1" x14ac:dyDescent="0.2">
      <c r="G658" s="69"/>
    </row>
    <row r="659" spans="7:7" ht="15.75" customHeight="1" x14ac:dyDescent="0.2">
      <c r="G659" s="69"/>
    </row>
    <row r="660" spans="7:7" ht="15.75" customHeight="1" x14ac:dyDescent="0.2">
      <c r="G660" s="69"/>
    </row>
    <row r="661" spans="7:7" ht="15.75" customHeight="1" x14ac:dyDescent="0.2">
      <c r="G661" s="69"/>
    </row>
    <row r="662" spans="7:7" ht="15.75" customHeight="1" x14ac:dyDescent="0.2">
      <c r="G662" s="69"/>
    </row>
    <row r="663" spans="7:7" ht="15.75" customHeight="1" x14ac:dyDescent="0.2">
      <c r="G663" s="69"/>
    </row>
    <row r="664" spans="7:7" ht="15.75" customHeight="1" x14ac:dyDescent="0.2">
      <c r="G664" s="69"/>
    </row>
    <row r="665" spans="7:7" ht="15.75" customHeight="1" x14ac:dyDescent="0.2">
      <c r="G665" s="69"/>
    </row>
    <row r="666" spans="7:7" ht="15.75" customHeight="1" x14ac:dyDescent="0.2">
      <c r="G666" s="69"/>
    </row>
    <row r="667" spans="7:7" ht="15.75" customHeight="1" x14ac:dyDescent="0.2">
      <c r="G667" s="69"/>
    </row>
    <row r="668" spans="7:7" ht="15.75" customHeight="1" x14ac:dyDescent="0.2">
      <c r="G668" s="69"/>
    </row>
    <row r="669" spans="7:7" ht="15.75" customHeight="1" x14ac:dyDescent="0.2">
      <c r="G669" s="69"/>
    </row>
    <row r="670" spans="7:7" ht="15.75" customHeight="1" x14ac:dyDescent="0.2">
      <c r="G670" s="69"/>
    </row>
    <row r="671" spans="7:7" ht="15.75" customHeight="1" x14ac:dyDescent="0.2">
      <c r="G671" s="69"/>
    </row>
    <row r="672" spans="7:7" ht="15.75" customHeight="1" x14ac:dyDescent="0.2">
      <c r="G672" s="69"/>
    </row>
    <row r="673" spans="7:7" ht="15.75" customHeight="1" x14ac:dyDescent="0.2">
      <c r="G673" s="69"/>
    </row>
    <row r="674" spans="7:7" ht="15.75" customHeight="1" x14ac:dyDescent="0.2">
      <c r="G674" s="69"/>
    </row>
    <row r="675" spans="7:7" ht="15.75" customHeight="1" x14ac:dyDescent="0.2">
      <c r="G675" s="69"/>
    </row>
    <row r="676" spans="7:7" ht="15.75" customHeight="1" x14ac:dyDescent="0.2">
      <c r="G676" s="69"/>
    </row>
    <row r="677" spans="7:7" ht="15.75" customHeight="1" x14ac:dyDescent="0.2">
      <c r="G677" s="69"/>
    </row>
    <row r="678" spans="7:7" ht="15.75" customHeight="1" x14ac:dyDescent="0.2">
      <c r="G678" s="69"/>
    </row>
    <row r="679" spans="7:7" ht="15.75" customHeight="1" x14ac:dyDescent="0.2">
      <c r="G679" s="69"/>
    </row>
    <row r="680" spans="7:7" ht="15.75" customHeight="1" x14ac:dyDescent="0.2">
      <c r="G680" s="69"/>
    </row>
    <row r="681" spans="7:7" ht="15.75" customHeight="1" x14ac:dyDescent="0.2">
      <c r="G681" s="69"/>
    </row>
    <row r="682" spans="7:7" ht="15.75" customHeight="1" x14ac:dyDescent="0.2">
      <c r="G682" s="69"/>
    </row>
    <row r="683" spans="7:7" ht="15.75" customHeight="1" x14ac:dyDescent="0.2">
      <c r="G683" s="69"/>
    </row>
    <row r="684" spans="7:7" ht="15.75" customHeight="1" x14ac:dyDescent="0.2">
      <c r="G684" s="69"/>
    </row>
    <row r="685" spans="7:7" ht="15.75" customHeight="1" x14ac:dyDescent="0.2">
      <c r="G685" s="69"/>
    </row>
    <row r="686" spans="7:7" ht="15.75" customHeight="1" x14ac:dyDescent="0.2">
      <c r="G686" s="69"/>
    </row>
    <row r="687" spans="7:7" ht="15.75" customHeight="1" x14ac:dyDescent="0.2">
      <c r="G687" s="69"/>
    </row>
    <row r="688" spans="7:7" ht="15.75" customHeight="1" x14ac:dyDescent="0.2">
      <c r="G688" s="69"/>
    </row>
    <row r="689" spans="7:7" ht="15.75" customHeight="1" x14ac:dyDescent="0.2">
      <c r="G689" s="69"/>
    </row>
    <row r="690" spans="7:7" ht="15.75" customHeight="1" x14ac:dyDescent="0.2">
      <c r="G690" s="69"/>
    </row>
    <row r="691" spans="7:7" ht="15.75" customHeight="1" x14ac:dyDescent="0.2">
      <c r="G691" s="69"/>
    </row>
    <row r="692" spans="7:7" ht="15.75" customHeight="1" x14ac:dyDescent="0.2">
      <c r="G692" s="69"/>
    </row>
    <row r="693" spans="7:7" ht="15.75" customHeight="1" x14ac:dyDescent="0.2">
      <c r="G693" s="69"/>
    </row>
    <row r="694" spans="7:7" ht="15.75" customHeight="1" x14ac:dyDescent="0.2">
      <c r="G694" s="69"/>
    </row>
    <row r="695" spans="7:7" ht="15.75" customHeight="1" x14ac:dyDescent="0.2">
      <c r="G695" s="69"/>
    </row>
    <row r="696" spans="7:7" ht="15.75" customHeight="1" x14ac:dyDescent="0.2">
      <c r="G696" s="69"/>
    </row>
    <row r="697" spans="7:7" ht="15.75" customHeight="1" x14ac:dyDescent="0.2">
      <c r="G697" s="69"/>
    </row>
    <row r="698" spans="7:7" ht="15.75" customHeight="1" x14ac:dyDescent="0.2">
      <c r="G698" s="69"/>
    </row>
    <row r="699" spans="7:7" ht="15.75" customHeight="1" x14ac:dyDescent="0.2">
      <c r="G699" s="69"/>
    </row>
    <row r="700" spans="7:7" ht="15.75" customHeight="1" x14ac:dyDescent="0.2">
      <c r="G700" s="69"/>
    </row>
    <row r="701" spans="7:7" ht="15.75" customHeight="1" x14ac:dyDescent="0.2">
      <c r="G701" s="69"/>
    </row>
    <row r="702" spans="7:7" ht="15.75" customHeight="1" x14ac:dyDescent="0.2">
      <c r="G702" s="69"/>
    </row>
    <row r="703" spans="7:7" ht="15.75" customHeight="1" x14ac:dyDescent="0.2">
      <c r="G703" s="69"/>
    </row>
    <row r="704" spans="7:7" ht="15.75" customHeight="1" x14ac:dyDescent="0.2">
      <c r="G704" s="69"/>
    </row>
    <row r="705" spans="7:7" ht="15.75" customHeight="1" x14ac:dyDescent="0.2">
      <c r="G705" s="69"/>
    </row>
    <row r="706" spans="7:7" ht="15.75" customHeight="1" x14ac:dyDescent="0.2">
      <c r="G706" s="69"/>
    </row>
    <row r="707" spans="7:7" ht="15.75" customHeight="1" x14ac:dyDescent="0.2">
      <c r="G707" s="69"/>
    </row>
    <row r="708" spans="7:7" ht="15.75" customHeight="1" x14ac:dyDescent="0.2">
      <c r="G708" s="69"/>
    </row>
    <row r="709" spans="7:7" ht="15.75" customHeight="1" x14ac:dyDescent="0.2">
      <c r="G709" s="69"/>
    </row>
    <row r="710" spans="7:7" ht="15.75" customHeight="1" x14ac:dyDescent="0.2">
      <c r="G710" s="69"/>
    </row>
    <row r="711" spans="7:7" ht="15.75" customHeight="1" x14ac:dyDescent="0.2">
      <c r="G711" s="69"/>
    </row>
    <row r="712" spans="7:7" ht="15.75" customHeight="1" x14ac:dyDescent="0.2">
      <c r="G712" s="69"/>
    </row>
    <row r="713" spans="7:7" ht="15.75" customHeight="1" x14ac:dyDescent="0.2">
      <c r="G713" s="69"/>
    </row>
    <row r="714" spans="7:7" ht="15.75" customHeight="1" x14ac:dyDescent="0.2">
      <c r="G714" s="69"/>
    </row>
    <row r="715" spans="7:7" ht="15.75" customHeight="1" x14ac:dyDescent="0.2">
      <c r="G715" s="69"/>
    </row>
    <row r="716" spans="7:7" ht="15.75" customHeight="1" x14ac:dyDescent="0.2">
      <c r="G716" s="69"/>
    </row>
    <row r="717" spans="7:7" ht="15.75" customHeight="1" x14ac:dyDescent="0.2">
      <c r="G717" s="69"/>
    </row>
    <row r="718" spans="7:7" ht="15.75" customHeight="1" x14ac:dyDescent="0.2">
      <c r="G718" s="69"/>
    </row>
    <row r="719" spans="7:7" ht="15.75" customHeight="1" x14ac:dyDescent="0.2">
      <c r="G719" s="69"/>
    </row>
    <row r="720" spans="7:7" ht="15.75" customHeight="1" x14ac:dyDescent="0.2">
      <c r="G720" s="69"/>
    </row>
    <row r="721" spans="7:7" ht="15.75" customHeight="1" x14ac:dyDescent="0.2">
      <c r="G721" s="69"/>
    </row>
    <row r="722" spans="7:7" ht="15.75" customHeight="1" x14ac:dyDescent="0.2">
      <c r="G722" s="69"/>
    </row>
    <row r="723" spans="7:7" ht="15.75" customHeight="1" x14ac:dyDescent="0.2">
      <c r="G723" s="69"/>
    </row>
    <row r="724" spans="7:7" ht="15.75" customHeight="1" x14ac:dyDescent="0.2">
      <c r="G724" s="69"/>
    </row>
    <row r="725" spans="7:7" ht="15.75" customHeight="1" x14ac:dyDescent="0.2">
      <c r="G725" s="69"/>
    </row>
    <row r="726" spans="7:7" ht="15.75" customHeight="1" x14ac:dyDescent="0.2">
      <c r="G726" s="69"/>
    </row>
    <row r="727" spans="7:7" ht="15.75" customHeight="1" x14ac:dyDescent="0.2">
      <c r="G727" s="69"/>
    </row>
    <row r="728" spans="7:7" ht="15.75" customHeight="1" x14ac:dyDescent="0.2">
      <c r="G728" s="69"/>
    </row>
    <row r="729" spans="7:7" ht="15.75" customHeight="1" x14ac:dyDescent="0.2">
      <c r="G729" s="69"/>
    </row>
    <row r="730" spans="7:7" ht="15.75" customHeight="1" x14ac:dyDescent="0.2">
      <c r="G730" s="69"/>
    </row>
    <row r="731" spans="7:7" ht="15.75" customHeight="1" x14ac:dyDescent="0.2">
      <c r="G731" s="69"/>
    </row>
    <row r="732" spans="7:7" ht="15.75" customHeight="1" x14ac:dyDescent="0.2">
      <c r="G732" s="69"/>
    </row>
    <row r="733" spans="7:7" ht="15.75" customHeight="1" x14ac:dyDescent="0.2">
      <c r="G733" s="69"/>
    </row>
    <row r="734" spans="7:7" ht="15.75" customHeight="1" x14ac:dyDescent="0.2">
      <c r="G734" s="69"/>
    </row>
    <row r="735" spans="7:7" ht="15.75" customHeight="1" x14ac:dyDescent="0.2">
      <c r="G735" s="69"/>
    </row>
    <row r="736" spans="7:7" ht="15.75" customHeight="1" x14ac:dyDescent="0.2">
      <c r="G736" s="69"/>
    </row>
    <row r="737" spans="7:7" ht="15.75" customHeight="1" x14ac:dyDescent="0.2">
      <c r="G737" s="69"/>
    </row>
    <row r="738" spans="7:7" ht="15.75" customHeight="1" x14ac:dyDescent="0.2">
      <c r="G738" s="69"/>
    </row>
    <row r="739" spans="7:7" ht="15.75" customHeight="1" x14ac:dyDescent="0.2">
      <c r="G739" s="69"/>
    </row>
    <row r="740" spans="7:7" ht="15.75" customHeight="1" x14ac:dyDescent="0.2">
      <c r="G740" s="69"/>
    </row>
    <row r="741" spans="7:7" ht="15.75" customHeight="1" x14ac:dyDescent="0.2">
      <c r="G741" s="69"/>
    </row>
    <row r="742" spans="7:7" ht="15.75" customHeight="1" x14ac:dyDescent="0.2">
      <c r="G742" s="69"/>
    </row>
    <row r="743" spans="7:7" ht="15.75" customHeight="1" x14ac:dyDescent="0.2">
      <c r="G743" s="69"/>
    </row>
    <row r="744" spans="7:7" ht="15.75" customHeight="1" x14ac:dyDescent="0.2">
      <c r="G744" s="69"/>
    </row>
    <row r="745" spans="7:7" ht="15.75" customHeight="1" x14ac:dyDescent="0.2">
      <c r="G745" s="69"/>
    </row>
    <row r="746" spans="7:7" ht="15.75" customHeight="1" x14ac:dyDescent="0.2">
      <c r="G746" s="69"/>
    </row>
    <row r="747" spans="7:7" ht="15.75" customHeight="1" x14ac:dyDescent="0.2">
      <c r="G747" s="69"/>
    </row>
    <row r="748" spans="7:7" ht="15.75" customHeight="1" x14ac:dyDescent="0.2">
      <c r="G748" s="69"/>
    </row>
    <row r="749" spans="7:7" ht="15.75" customHeight="1" x14ac:dyDescent="0.2">
      <c r="G749" s="69"/>
    </row>
    <row r="750" spans="7:7" ht="15.75" customHeight="1" x14ac:dyDescent="0.2">
      <c r="G750" s="69"/>
    </row>
    <row r="751" spans="7:7" ht="15.75" customHeight="1" x14ac:dyDescent="0.2">
      <c r="G751" s="69"/>
    </row>
    <row r="752" spans="7:7" ht="15.75" customHeight="1" x14ac:dyDescent="0.2">
      <c r="G752" s="69"/>
    </row>
    <row r="753" spans="7:7" ht="15.75" customHeight="1" x14ac:dyDescent="0.2">
      <c r="G753" s="69"/>
    </row>
    <row r="754" spans="7:7" ht="15.75" customHeight="1" x14ac:dyDescent="0.2">
      <c r="G754" s="69"/>
    </row>
    <row r="755" spans="7:7" ht="15.75" customHeight="1" x14ac:dyDescent="0.2">
      <c r="G755" s="69"/>
    </row>
    <row r="756" spans="7:7" ht="15.75" customHeight="1" x14ac:dyDescent="0.2">
      <c r="G756" s="69"/>
    </row>
    <row r="757" spans="7:7" ht="15.75" customHeight="1" x14ac:dyDescent="0.2">
      <c r="G757" s="69"/>
    </row>
    <row r="758" spans="7:7" ht="15.75" customHeight="1" x14ac:dyDescent="0.2">
      <c r="G758" s="69"/>
    </row>
    <row r="759" spans="7:7" ht="15.75" customHeight="1" x14ac:dyDescent="0.2">
      <c r="G759" s="69"/>
    </row>
    <row r="760" spans="7:7" ht="15.75" customHeight="1" x14ac:dyDescent="0.2">
      <c r="G760" s="69"/>
    </row>
    <row r="761" spans="7:7" ht="15.75" customHeight="1" x14ac:dyDescent="0.2">
      <c r="G761" s="69"/>
    </row>
    <row r="762" spans="7:7" ht="15.75" customHeight="1" x14ac:dyDescent="0.2">
      <c r="G762" s="69"/>
    </row>
    <row r="763" spans="7:7" ht="15.75" customHeight="1" x14ac:dyDescent="0.2">
      <c r="G763" s="69"/>
    </row>
    <row r="764" spans="7:7" ht="15.75" customHeight="1" x14ac:dyDescent="0.2">
      <c r="G764" s="69"/>
    </row>
    <row r="765" spans="7:7" ht="15.75" customHeight="1" x14ac:dyDescent="0.2">
      <c r="G765" s="69"/>
    </row>
    <row r="766" spans="7:7" ht="15.75" customHeight="1" x14ac:dyDescent="0.2">
      <c r="G766" s="69"/>
    </row>
    <row r="767" spans="7:7" ht="15.75" customHeight="1" x14ac:dyDescent="0.2">
      <c r="G767" s="69"/>
    </row>
    <row r="768" spans="7:7" ht="15.75" customHeight="1" x14ac:dyDescent="0.2">
      <c r="G768" s="69"/>
    </row>
    <row r="769" spans="7:7" ht="15.75" customHeight="1" x14ac:dyDescent="0.2">
      <c r="G769" s="69"/>
    </row>
    <row r="770" spans="7:7" ht="15.75" customHeight="1" x14ac:dyDescent="0.2">
      <c r="G770" s="69"/>
    </row>
    <row r="771" spans="7:7" ht="15.75" customHeight="1" x14ac:dyDescent="0.2">
      <c r="G771" s="69"/>
    </row>
    <row r="772" spans="7:7" ht="15.75" customHeight="1" x14ac:dyDescent="0.2">
      <c r="G772" s="69"/>
    </row>
    <row r="773" spans="7:7" ht="15.75" customHeight="1" x14ac:dyDescent="0.2">
      <c r="G773" s="69"/>
    </row>
    <row r="774" spans="7:7" ht="15.75" customHeight="1" x14ac:dyDescent="0.2">
      <c r="G774" s="69"/>
    </row>
    <row r="775" spans="7:7" ht="15.75" customHeight="1" x14ac:dyDescent="0.2">
      <c r="G775" s="69"/>
    </row>
    <row r="776" spans="7:7" ht="15.75" customHeight="1" x14ac:dyDescent="0.2">
      <c r="G776" s="69"/>
    </row>
    <row r="777" spans="7:7" ht="15.75" customHeight="1" x14ac:dyDescent="0.2">
      <c r="G777" s="69"/>
    </row>
    <row r="778" spans="7:7" ht="15.75" customHeight="1" x14ac:dyDescent="0.2">
      <c r="G778" s="69"/>
    </row>
    <row r="779" spans="7:7" ht="15.75" customHeight="1" x14ac:dyDescent="0.2">
      <c r="G779" s="69"/>
    </row>
    <row r="780" spans="7:7" ht="15.75" customHeight="1" x14ac:dyDescent="0.2">
      <c r="G780" s="69"/>
    </row>
    <row r="781" spans="7:7" ht="15.75" customHeight="1" x14ac:dyDescent="0.2">
      <c r="G781" s="69"/>
    </row>
    <row r="782" spans="7:7" ht="15.75" customHeight="1" x14ac:dyDescent="0.2">
      <c r="G782" s="69"/>
    </row>
    <row r="783" spans="7:7" ht="15.75" customHeight="1" x14ac:dyDescent="0.2">
      <c r="G783" s="69"/>
    </row>
    <row r="784" spans="7:7" ht="15.75" customHeight="1" x14ac:dyDescent="0.2">
      <c r="G784" s="69"/>
    </row>
    <row r="785" spans="7:7" ht="15.75" customHeight="1" x14ac:dyDescent="0.2">
      <c r="G785" s="69"/>
    </row>
    <row r="786" spans="7:7" ht="15.75" customHeight="1" x14ac:dyDescent="0.2">
      <c r="G786" s="69"/>
    </row>
    <row r="787" spans="7:7" ht="15.75" customHeight="1" x14ac:dyDescent="0.2">
      <c r="G787" s="69"/>
    </row>
    <row r="788" spans="7:7" ht="15.75" customHeight="1" x14ac:dyDescent="0.2">
      <c r="G788" s="69"/>
    </row>
    <row r="789" spans="7:7" ht="15.75" customHeight="1" x14ac:dyDescent="0.2">
      <c r="G789" s="69"/>
    </row>
    <row r="790" spans="7:7" ht="15.75" customHeight="1" x14ac:dyDescent="0.2">
      <c r="G790" s="69"/>
    </row>
    <row r="791" spans="7:7" ht="15.75" customHeight="1" x14ac:dyDescent="0.2">
      <c r="G791" s="69"/>
    </row>
    <row r="792" spans="7:7" ht="15.75" customHeight="1" x14ac:dyDescent="0.2">
      <c r="G792" s="69"/>
    </row>
    <row r="793" spans="7:7" ht="15.75" customHeight="1" x14ac:dyDescent="0.2">
      <c r="G793" s="69"/>
    </row>
    <row r="794" spans="7:7" ht="15.75" customHeight="1" x14ac:dyDescent="0.2">
      <c r="G794" s="69"/>
    </row>
    <row r="795" spans="7:7" ht="15.75" customHeight="1" x14ac:dyDescent="0.2">
      <c r="G795" s="69"/>
    </row>
    <row r="796" spans="7:7" ht="15.75" customHeight="1" x14ac:dyDescent="0.2">
      <c r="G796" s="69"/>
    </row>
    <row r="797" spans="7:7" ht="15.75" customHeight="1" x14ac:dyDescent="0.2">
      <c r="G797" s="69"/>
    </row>
    <row r="798" spans="7:7" ht="15.75" customHeight="1" x14ac:dyDescent="0.2">
      <c r="G798" s="69"/>
    </row>
    <row r="799" spans="7:7" ht="15.75" customHeight="1" x14ac:dyDescent="0.2">
      <c r="G799" s="69"/>
    </row>
    <row r="800" spans="7:7" ht="15.75" customHeight="1" x14ac:dyDescent="0.2">
      <c r="G800" s="69"/>
    </row>
    <row r="801" spans="7:7" ht="15.75" customHeight="1" x14ac:dyDescent="0.2">
      <c r="G801" s="69"/>
    </row>
    <row r="802" spans="7:7" ht="15.75" customHeight="1" x14ac:dyDescent="0.2">
      <c r="G802" s="69"/>
    </row>
    <row r="803" spans="7:7" ht="15.75" customHeight="1" x14ac:dyDescent="0.2">
      <c r="G803" s="69"/>
    </row>
    <row r="804" spans="7:7" ht="15.75" customHeight="1" x14ac:dyDescent="0.2">
      <c r="G804" s="69"/>
    </row>
    <row r="805" spans="7:7" ht="15.75" customHeight="1" x14ac:dyDescent="0.2">
      <c r="G805" s="69"/>
    </row>
    <row r="806" spans="7:7" ht="15.75" customHeight="1" x14ac:dyDescent="0.2">
      <c r="G806" s="69"/>
    </row>
    <row r="807" spans="7:7" ht="15.75" customHeight="1" x14ac:dyDescent="0.2">
      <c r="G807" s="69"/>
    </row>
    <row r="808" spans="7:7" ht="15.75" customHeight="1" x14ac:dyDescent="0.2">
      <c r="G808" s="69"/>
    </row>
    <row r="809" spans="7:7" ht="15.75" customHeight="1" x14ac:dyDescent="0.2">
      <c r="G809" s="69"/>
    </row>
    <row r="810" spans="7:7" ht="15.75" customHeight="1" x14ac:dyDescent="0.2">
      <c r="G810" s="69"/>
    </row>
    <row r="811" spans="7:7" ht="15.75" customHeight="1" x14ac:dyDescent="0.2">
      <c r="G811" s="69"/>
    </row>
    <row r="812" spans="7:7" ht="15.75" customHeight="1" x14ac:dyDescent="0.2">
      <c r="G812" s="69"/>
    </row>
    <row r="813" spans="7:7" ht="15.75" customHeight="1" x14ac:dyDescent="0.2">
      <c r="G813" s="69"/>
    </row>
    <row r="814" spans="7:7" ht="15.75" customHeight="1" x14ac:dyDescent="0.2">
      <c r="G814" s="69"/>
    </row>
    <row r="815" spans="7:7" ht="15.75" customHeight="1" x14ac:dyDescent="0.2">
      <c r="G815" s="69"/>
    </row>
    <row r="816" spans="7:7" ht="15.75" customHeight="1" x14ac:dyDescent="0.2">
      <c r="G816" s="69"/>
    </row>
    <row r="817" spans="7:7" ht="15.75" customHeight="1" x14ac:dyDescent="0.2">
      <c r="G817" s="69"/>
    </row>
    <row r="818" spans="7:7" ht="15.75" customHeight="1" x14ac:dyDescent="0.2">
      <c r="G818" s="69"/>
    </row>
    <row r="819" spans="7:7" ht="15.75" customHeight="1" x14ac:dyDescent="0.2">
      <c r="G819" s="69"/>
    </row>
    <row r="820" spans="7:7" ht="15.75" customHeight="1" x14ac:dyDescent="0.2">
      <c r="G820" s="69"/>
    </row>
    <row r="821" spans="7:7" ht="15.75" customHeight="1" x14ac:dyDescent="0.2">
      <c r="G821" s="69"/>
    </row>
    <row r="822" spans="7:7" ht="15.75" customHeight="1" x14ac:dyDescent="0.2">
      <c r="G822" s="69"/>
    </row>
    <row r="823" spans="7:7" ht="15.75" customHeight="1" x14ac:dyDescent="0.2">
      <c r="G823" s="69"/>
    </row>
    <row r="824" spans="7:7" ht="15.75" customHeight="1" x14ac:dyDescent="0.2">
      <c r="G824" s="69"/>
    </row>
    <row r="825" spans="7:7" ht="15.75" customHeight="1" x14ac:dyDescent="0.2">
      <c r="G825" s="69"/>
    </row>
    <row r="826" spans="7:7" ht="15.75" customHeight="1" x14ac:dyDescent="0.2">
      <c r="G826" s="69"/>
    </row>
    <row r="827" spans="7:7" ht="15.75" customHeight="1" x14ac:dyDescent="0.2">
      <c r="G827" s="69"/>
    </row>
    <row r="828" spans="7:7" ht="15.75" customHeight="1" x14ac:dyDescent="0.2">
      <c r="G828" s="69"/>
    </row>
    <row r="829" spans="7:7" ht="15.75" customHeight="1" x14ac:dyDescent="0.2">
      <c r="G829" s="69"/>
    </row>
    <row r="830" spans="7:7" ht="15.75" customHeight="1" x14ac:dyDescent="0.2">
      <c r="G830" s="69"/>
    </row>
    <row r="831" spans="7:7" ht="15.75" customHeight="1" x14ac:dyDescent="0.2">
      <c r="G831" s="69"/>
    </row>
    <row r="832" spans="7:7" ht="15.75" customHeight="1" x14ac:dyDescent="0.2">
      <c r="G832" s="69"/>
    </row>
    <row r="833" spans="7:7" ht="15.75" customHeight="1" x14ac:dyDescent="0.2">
      <c r="G833" s="69"/>
    </row>
    <row r="834" spans="7:7" ht="15.75" customHeight="1" x14ac:dyDescent="0.2">
      <c r="G834" s="69"/>
    </row>
    <row r="835" spans="7:7" ht="15.75" customHeight="1" x14ac:dyDescent="0.2">
      <c r="G835" s="69"/>
    </row>
    <row r="836" spans="7:7" ht="15.75" customHeight="1" x14ac:dyDescent="0.2">
      <c r="G836" s="69"/>
    </row>
    <row r="837" spans="7:7" ht="15.75" customHeight="1" x14ac:dyDescent="0.2">
      <c r="G837" s="69"/>
    </row>
    <row r="838" spans="7:7" ht="15.75" customHeight="1" x14ac:dyDescent="0.2">
      <c r="G838" s="69"/>
    </row>
    <row r="839" spans="7:7" ht="15.75" customHeight="1" x14ac:dyDescent="0.2">
      <c r="G839" s="69"/>
    </row>
    <row r="840" spans="7:7" ht="15.75" customHeight="1" x14ac:dyDescent="0.2">
      <c r="G840" s="69"/>
    </row>
    <row r="841" spans="7:7" ht="15.75" customHeight="1" x14ac:dyDescent="0.2">
      <c r="G841" s="69"/>
    </row>
    <row r="842" spans="7:7" ht="15.75" customHeight="1" x14ac:dyDescent="0.2">
      <c r="G842" s="69"/>
    </row>
    <row r="843" spans="7:7" ht="15.75" customHeight="1" x14ac:dyDescent="0.2">
      <c r="G843" s="69"/>
    </row>
    <row r="844" spans="7:7" ht="15.75" customHeight="1" x14ac:dyDescent="0.2">
      <c r="G844" s="69"/>
    </row>
    <row r="845" spans="7:7" ht="15.75" customHeight="1" x14ac:dyDescent="0.2">
      <c r="G845" s="69"/>
    </row>
    <row r="846" spans="7:7" ht="15.75" customHeight="1" x14ac:dyDescent="0.2">
      <c r="G846" s="69"/>
    </row>
    <row r="847" spans="7:7" ht="15.75" customHeight="1" x14ac:dyDescent="0.2">
      <c r="G847" s="69"/>
    </row>
    <row r="848" spans="7:7" ht="15.75" customHeight="1" x14ac:dyDescent="0.2">
      <c r="G848" s="69"/>
    </row>
    <row r="849" spans="7:7" ht="15.75" customHeight="1" x14ac:dyDescent="0.2">
      <c r="G849" s="69"/>
    </row>
    <row r="850" spans="7:7" ht="15.75" customHeight="1" x14ac:dyDescent="0.2">
      <c r="G850" s="69"/>
    </row>
    <row r="851" spans="7:7" ht="15.75" customHeight="1" x14ac:dyDescent="0.2">
      <c r="G851" s="69"/>
    </row>
    <row r="852" spans="7:7" ht="15.75" customHeight="1" x14ac:dyDescent="0.2">
      <c r="G852" s="69"/>
    </row>
    <row r="853" spans="7:7" ht="15.75" customHeight="1" x14ac:dyDescent="0.2">
      <c r="G853" s="69"/>
    </row>
    <row r="854" spans="7:7" ht="15.75" customHeight="1" x14ac:dyDescent="0.2">
      <c r="G854" s="69"/>
    </row>
    <row r="855" spans="7:7" ht="15.75" customHeight="1" x14ac:dyDescent="0.2">
      <c r="G855" s="69"/>
    </row>
    <row r="856" spans="7:7" ht="15.75" customHeight="1" x14ac:dyDescent="0.2">
      <c r="G856" s="69"/>
    </row>
    <row r="857" spans="7:7" ht="15.75" customHeight="1" x14ac:dyDescent="0.2">
      <c r="G857" s="69"/>
    </row>
    <row r="858" spans="7:7" ht="15.75" customHeight="1" x14ac:dyDescent="0.2">
      <c r="G858" s="69"/>
    </row>
    <row r="859" spans="7:7" ht="15.75" customHeight="1" x14ac:dyDescent="0.2">
      <c r="G859" s="69"/>
    </row>
    <row r="860" spans="7:7" ht="15.75" customHeight="1" x14ac:dyDescent="0.2">
      <c r="G860" s="69"/>
    </row>
    <row r="861" spans="7:7" ht="15.75" customHeight="1" x14ac:dyDescent="0.2">
      <c r="G861" s="69"/>
    </row>
    <row r="862" spans="7:7" ht="15.75" customHeight="1" x14ac:dyDescent="0.2">
      <c r="G862" s="69"/>
    </row>
    <row r="863" spans="7:7" ht="15.75" customHeight="1" x14ac:dyDescent="0.2">
      <c r="G863" s="69"/>
    </row>
    <row r="864" spans="7:7" ht="15.75" customHeight="1" x14ac:dyDescent="0.2">
      <c r="G864" s="69"/>
    </row>
    <row r="865" spans="7:7" ht="15.75" customHeight="1" x14ac:dyDescent="0.2">
      <c r="G865" s="69"/>
    </row>
    <row r="866" spans="7:7" ht="15.75" customHeight="1" x14ac:dyDescent="0.2">
      <c r="G866" s="69"/>
    </row>
    <row r="867" spans="7:7" ht="15.75" customHeight="1" x14ac:dyDescent="0.2">
      <c r="G867" s="69"/>
    </row>
    <row r="868" spans="7:7" ht="15.75" customHeight="1" x14ac:dyDescent="0.2">
      <c r="G868" s="69"/>
    </row>
    <row r="869" spans="7:7" ht="15.75" customHeight="1" x14ac:dyDescent="0.2">
      <c r="G869" s="69"/>
    </row>
    <row r="870" spans="7:7" ht="15.75" customHeight="1" x14ac:dyDescent="0.2">
      <c r="G870" s="69"/>
    </row>
    <row r="871" spans="7:7" ht="15.75" customHeight="1" x14ac:dyDescent="0.2">
      <c r="G871" s="69"/>
    </row>
    <row r="872" spans="7:7" ht="15.75" customHeight="1" x14ac:dyDescent="0.2">
      <c r="G872" s="69"/>
    </row>
    <row r="873" spans="7:7" ht="15.75" customHeight="1" x14ac:dyDescent="0.2">
      <c r="G873" s="69"/>
    </row>
    <row r="874" spans="7:7" ht="15.75" customHeight="1" x14ac:dyDescent="0.2">
      <c r="G874" s="69"/>
    </row>
    <row r="875" spans="7:7" ht="15.75" customHeight="1" x14ac:dyDescent="0.2">
      <c r="G875" s="69"/>
    </row>
    <row r="876" spans="7:7" ht="15.75" customHeight="1" x14ac:dyDescent="0.2">
      <c r="G876" s="69"/>
    </row>
    <row r="877" spans="7:7" ht="15.75" customHeight="1" x14ac:dyDescent="0.2">
      <c r="G877" s="69"/>
    </row>
    <row r="878" spans="7:7" ht="15.75" customHeight="1" x14ac:dyDescent="0.2">
      <c r="G878" s="69"/>
    </row>
    <row r="879" spans="7:7" ht="15.75" customHeight="1" x14ac:dyDescent="0.2">
      <c r="G879" s="69"/>
    </row>
    <row r="880" spans="7:7" ht="15.75" customHeight="1" x14ac:dyDescent="0.2">
      <c r="G880" s="69"/>
    </row>
    <row r="881" spans="7:7" ht="15.75" customHeight="1" x14ac:dyDescent="0.2">
      <c r="G881" s="69"/>
    </row>
    <row r="882" spans="7:7" ht="15.75" customHeight="1" x14ac:dyDescent="0.2">
      <c r="G882" s="69"/>
    </row>
    <row r="883" spans="7:7" ht="15.75" customHeight="1" x14ac:dyDescent="0.2">
      <c r="G883" s="69"/>
    </row>
    <row r="884" spans="7:7" ht="15.75" customHeight="1" x14ac:dyDescent="0.2">
      <c r="G884" s="69"/>
    </row>
    <row r="885" spans="7:7" ht="15.75" customHeight="1" x14ac:dyDescent="0.2">
      <c r="G885" s="69"/>
    </row>
    <row r="886" spans="7:7" ht="15.75" customHeight="1" x14ac:dyDescent="0.2">
      <c r="G886" s="69"/>
    </row>
    <row r="887" spans="7:7" ht="15.75" customHeight="1" x14ac:dyDescent="0.2">
      <c r="G887" s="69"/>
    </row>
    <row r="888" spans="7:7" ht="15.75" customHeight="1" x14ac:dyDescent="0.2">
      <c r="G888" s="69"/>
    </row>
    <row r="889" spans="7:7" ht="15.75" customHeight="1" x14ac:dyDescent="0.2">
      <c r="G889" s="69"/>
    </row>
    <row r="890" spans="7:7" ht="15.75" customHeight="1" x14ac:dyDescent="0.2">
      <c r="G890" s="69"/>
    </row>
    <row r="891" spans="7:7" ht="15.75" customHeight="1" x14ac:dyDescent="0.2">
      <c r="G891" s="69"/>
    </row>
    <row r="892" spans="7:7" ht="15.75" customHeight="1" x14ac:dyDescent="0.2">
      <c r="G892" s="69"/>
    </row>
    <row r="893" spans="7:7" ht="15.75" customHeight="1" x14ac:dyDescent="0.2">
      <c r="G893" s="69"/>
    </row>
    <row r="894" spans="7:7" ht="15.75" customHeight="1" x14ac:dyDescent="0.2">
      <c r="G894" s="69"/>
    </row>
    <row r="895" spans="7:7" ht="15.75" customHeight="1" x14ac:dyDescent="0.2">
      <c r="G895" s="69"/>
    </row>
    <row r="896" spans="7:7" ht="15.75" customHeight="1" x14ac:dyDescent="0.2">
      <c r="G896" s="69"/>
    </row>
    <row r="897" spans="7:7" ht="15.75" customHeight="1" x14ac:dyDescent="0.2">
      <c r="G897" s="69"/>
    </row>
    <row r="898" spans="7:7" ht="15.75" customHeight="1" x14ac:dyDescent="0.2">
      <c r="G898" s="69"/>
    </row>
    <row r="899" spans="7:7" ht="15.75" customHeight="1" x14ac:dyDescent="0.2">
      <c r="G899" s="69"/>
    </row>
    <row r="900" spans="7:7" ht="15.75" customHeight="1" x14ac:dyDescent="0.2">
      <c r="G900" s="69"/>
    </row>
    <row r="901" spans="7:7" ht="15.75" customHeight="1" x14ac:dyDescent="0.2">
      <c r="G901" s="69"/>
    </row>
    <row r="902" spans="7:7" ht="15.75" customHeight="1" x14ac:dyDescent="0.2">
      <c r="G902" s="69"/>
    </row>
    <row r="903" spans="7:7" ht="15.75" customHeight="1" x14ac:dyDescent="0.2">
      <c r="G903" s="69"/>
    </row>
    <row r="904" spans="7:7" ht="15.75" customHeight="1" x14ac:dyDescent="0.2">
      <c r="G904" s="69"/>
    </row>
    <row r="905" spans="7:7" ht="15.75" customHeight="1" x14ac:dyDescent="0.2">
      <c r="G905" s="69"/>
    </row>
    <row r="906" spans="7:7" ht="15.75" customHeight="1" x14ac:dyDescent="0.2">
      <c r="G906" s="69"/>
    </row>
    <row r="907" spans="7:7" ht="15.75" customHeight="1" x14ac:dyDescent="0.2">
      <c r="G907" s="69"/>
    </row>
    <row r="908" spans="7:7" ht="15.75" customHeight="1" x14ac:dyDescent="0.2">
      <c r="G908" s="69"/>
    </row>
    <row r="909" spans="7:7" ht="15.75" customHeight="1" x14ac:dyDescent="0.2">
      <c r="G909" s="69"/>
    </row>
    <row r="910" spans="7:7" ht="15.75" customHeight="1" x14ac:dyDescent="0.2">
      <c r="G910" s="69"/>
    </row>
    <row r="911" spans="7:7" ht="15.75" customHeight="1" x14ac:dyDescent="0.2">
      <c r="G911" s="69"/>
    </row>
    <row r="912" spans="7:7" ht="15.75" customHeight="1" x14ac:dyDescent="0.2">
      <c r="G912" s="69"/>
    </row>
    <row r="913" spans="7:7" ht="15.75" customHeight="1" x14ac:dyDescent="0.2">
      <c r="G913" s="69"/>
    </row>
    <row r="914" spans="7:7" ht="15.75" customHeight="1" x14ac:dyDescent="0.2">
      <c r="G914" s="69"/>
    </row>
    <row r="915" spans="7:7" ht="15.75" customHeight="1" x14ac:dyDescent="0.2">
      <c r="G915" s="69"/>
    </row>
    <row r="916" spans="7:7" ht="15.75" customHeight="1" x14ac:dyDescent="0.2">
      <c r="G916" s="69"/>
    </row>
    <row r="917" spans="7:7" ht="15.75" customHeight="1" x14ac:dyDescent="0.2">
      <c r="G917" s="69"/>
    </row>
    <row r="918" spans="7:7" ht="15.75" customHeight="1" x14ac:dyDescent="0.2">
      <c r="G918" s="69"/>
    </row>
    <row r="919" spans="7:7" ht="15.75" customHeight="1" x14ac:dyDescent="0.2">
      <c r="G919" s="69"/>
    </row>
    <row r="920" spans="7:7" ht="15.75" customHeight="1" x14ac:dyDescent="0.2">
      <c r="G920" s="69"/>
    </row>
    <row r="921" spans="7:7" ht="15.75" customHeight="1" x14ac:dyDescent="0.2">
      <c r="G921" s="69"/>
    </row>
    <row r="922" spans="7:7" ht="15.75" customHeight="1" x14ac:dyDescent="0.2">
      <c r="G922" s="69"/>
    </row>
    <row r="923" spans="7:7" ht="15.75" customHeight="1" x14ac:dyDescent="0.2">
      <c r="G923" s="69"/>
    </row>
    <row r="924" spans="7:7" ht="15.75" customHeight="1" x14ac:dyDescent="0.2">
      <c r="G924" s="69"/>
    </row>
    <row r="925" spans="7:7" ht="15.75" customHeight="1" x14ac:dyDescent="0.2">
      <c r="G925" s="69"/>
    </row>
    <row r="926" spans="7:7" ht="15.75" customHeight="1" x14ac:dyDescent="0.2">
      <c r="G926" s="69"/>
    </row>
    <row r="927" spans="7:7" ht="15.75" customHeight="1" x14ac:dyDescent="0.2">
      <c r="G927" s="69"/>
    </row>
    <row r="928" spans="7:7" ht="15.75" customHeight="1" x14ac:dyDescent="0.2">
      <c r="G928" s="69"/>
    </row>
    <row r="929" spans="7:7" ht="15.75" customHeight="1" x14ac:dyDescent="0.2">
      <c r="G929" s="69"/>
    </row>
    <row r="930" spans="7:7" ht="15.75" customHeight="1" x14ac:dyDescent="0.2">
      <c r="G930" s="69"/>
    </row>
    <row r="931" spans="7:7" ht="15.75" customHeight="1" x14ac:dyDescent="0.2">
      <c r="G931" s="69"/>
    </row>
    <row r="932" spans="7:7" ht="15.75" customHeight="1" x14ac:dyDescent="0.2">
      <c r="G932" s="69"/>
    </row>
    <row r="933" spans="7:7" ht="15.75" customHeight="1" x14ac:dyDescent="0.2">
      <c r="G933" s="69"/>
    </row>
    <row r="934" spans="7:7" ht="15.75" customHeight="1" x14ac:dyDescent="0.2">
      <c r="G934" s="69"/>
    </row>
    <row r="935" spans="7:7" ht="15.75" customHeight="1" x14ac:dyDescent="0.2">
      <c r="G935" s="69"/>
    </row>
    <row r="936" spans="7:7" ht="15.75" customHeight="1" x14ac:dyDescent="0.2">
      <c r="G936" s="69"/>
    </row>
    <row r="937" spans="7:7" ht="15.75" customHeight="1" x14ac:dyDescent="0.2">
      <c r="G937" s="69"/>
    </row>
    <row r="938" spans="7:7" ht="15.75" customHeight="1" x14ac:dyDescent="0.2">
      <c r="G938" s="69"/>
    </row>
    <row r="939" spans="7:7" ht="15.75" customHeight="1" x14ac:dyDescent="0.2">
      <c r="G939" s="69"/>
    </row>
    <row r="940" spans="7:7" ht="15.75" customHeight="1" x14ac:dyDescent="0.2">
      <c r="G940" s="69"/>
    </row>
    <row r="941" spans="7:7" ht="15.75" customHeight="1" x14ac:dyDescent="0.2">
      <c r="G941" s="69"/>
    </row>
    <row r="942" spans="7:7" ht="15.75" customHeight="1" x14ac:dyDescent="0.2">
      <c r="G942" s="69"/>
    </row>
    <row r="943" spans="7:7" ht="15.75" customHeight="1" x14ac:dyDescent="0.2">
      <c r="G943" s="69"/>
    </row>
    <row r="944" spans="7:7" ht="15.75" customHeight="1" x14ac:dyDescent="0.2">
      <c r="G944" s="69"/>
    </row>
    <row r="945" spans="7:7" ht="15.75" customHeight="1" x14ac:dyDescent="0.2">
      <c r="G945" s="69"/>
    </row>
    <row r="946" spans="7:7" ht="15.75" customHeight="1" x14ac:dyDescent="0.2">
      <c r="G946" s="69"/>
    </row>
    <row r="947" spans="7:7" ht="15.75" customHeight="1" x14ac:dyDescent="0.2">
      <c r="G947" s="69"/>
    </row>
    <row r="948" spans="7:7" ht="15.75" customHeight="1" x14ac:dyDescent="0.2">
      <c r="G948" s="69"/>
    </row>
    <row r="949" spans="7:7" ht="15.75" customHeight="1" x14ac:dyDescent="0.2">
      <c r="G949" s="69"/>
    </row>
    <row r="950" spans="7:7" ht="15.75" customHeight="1" x14ac:dyDescent="0.2">
      <c r="G950" s="69"/>
    </row>
    <row r="951" spans="7:7" ht="15.75" customHeight="1" x14ac:dyDescent="0.2">
      <c r="G951" s="69"/>
    </row>
    <row r="952" spans="7:7" ht="15.75" customHeight="1" x14ac:dyDescent="0.2">
      <c r="G952" s="69"/>
    </row>
    <row r="953" spans="7:7" ht="15.75" customHeight="1" x14ac:dyDescent="0.2">
      <c r="G953" s="69"/>
    </row>
    <row r="954" spans="7:7" ht="15.75" customHeight="1" x14ac:dyDescent="0.2">
      <c r="G954" s="69"/>
    </row>
    <row r="955" spans="7:7" ht="15.75" customHeight="1" x14ac:dyDescent="0.2">
      <c r="G955" s="69"/>
    </row>
    <row r="956" spans="7:7" ht="15.75" customHeight="1" x14ac:dyDescent="0.2">
      <c r="G956" s="69"/>
    </row>
    <row r="957" spans="7:7" ht="15.75" customHeight="1" x14ac:dyDescent="0.2">
      <c r="G957" s="69"/>
    </row>
    <row r="958" spans="7:7" ht="15.75" customHeight="1" x14ac:dyDescent="0.2">
      <c r="G958" s="69"/>
    </row>
    <row r="959" spans="7:7" ht="15.75" customHeight="1" x14ac:dyDescent="0.2">
      <c r="G959" s="69"/>
    </row>
    <row r="960" spans="7:7" ht="15.75" customHeight="1" x14ac:dyDescent="0.2">
      <c r="G960" s="69"/>
    </row>
    <row r="961" spans="7:7" ht="15.75" customHeight="1" x14ac:dyDescent="0.2">
      <c r="G961" s="69"/>
    </row>
    <row r="962" spans="7:7" ht="15.75" customHeight="1" x14ac:dyDescent="0.2">
      <c r="G962" s="69"/>
    </row>
    <row r="963" spans="7:7" ht="15.75" customHeight="1" x14ac:dyDescent="0.2">
      <c r="G963" s="69"/>
    </row>
    <row r="964" spans="7:7" ht="15.75" customHeight="1" x14ac:dyDescent="0.2">
      <c r="G964" s="69"/>
    </row>
    <row r="965" spans="7:7" ht="15.75" customHeight="1" x14ac:dyDescent="0.2">
      <c r="G965" s="69"/>
    </row>
    <row r="966" spans="7:7" ht="15.75" customHeight="1" x14ac:dyDescent="0.2">
      <c r="G966" s="69"/>
    </row>
    <row r="967" spans="7:7" ht="15.75" customHeight="1" x14ac:dyDescent="0.2">
      <c r="G967" s="69"/>
    </row>
    <row r="968" spans="7:7" ht="15.75" customHeight="1" x14ac:dyDescent="0.2">
      <c r="G968" s="69"/>
    </row>
    <row r="969" spans="7:7" ht="15.75" customHeight="1" x14ac:dyDescent="0.2">
      <c r="G969" s="69"/>
    </row>
    <row r="970" spans="7:7" ht="15.75" customHeight="1" x14ac:dyDescent="0.2">
      <c r="G970" s="69"/>
    </row>
    <row r="971" spans="7:7" ht="15.75" customHeight="1" x14ac:dyDescent="0.2">
      <c r="G971" s="69"/>
    </row>
    <row r="972" spans="7:7" ht="15.75" customHeight="1" x14ac:dyDescent="0.2">
      <c r="G972" s="69"/>
    </row>
    <row r="973" spans="7:7" ht="15.75" customHeight="1" x14ac:dyDescent="0.2">
      <c r="G973" s="69"/>
    </row>
    <row r="974" spans="7:7" ht="15.75" customHeight="1" x14ac:dyDescent="0.2">
      <c r="G974" s="69"/>
    </row>
    <row r="975" spans="7:7" ht="15.75" customHeight="1" x14ac:dyDescent="0.2">
      <c r="G975" s="69"/>
    </row>
    <row r="976" spans="7:7" ht="15.75" customHeight="1" x14ac:dyDescent="0.2">
      <c r="G976" s="69"/>
    </row>
    <row r="977" spans="7:7" ht="15.75" customHeight="1" x14ac:dyDescent="0.2">
      <c r="G977" s="69"/>
    </row>
    <row r="978" spans="7:7" ht="15.75" customHeight="1" x14ac:dyDescent="0.2">
      <c r="G978" s="69"/>
    </row>
    <row r="979" spans="7:7" ht="15.75" customHeight="1" x14ac:dyDescent="0.2">
      <c r="G979" s="69"/>
    </row>
    <row r="980" spans="7:7" ht="15.75" customHeight="1" x14ac:dyDescent="0.2">
      <c r="G980" s="69"/>
    </row>
    <row r="981" spans="7:7" ht="15.75" customHeight="1" x14ac:dyDescent="0.2">
      <c r="G981" s="69"/>
    </row>
    <row r="982" spans="7:7" ht="15.75" customHeight="1" x14ac:dyDescent="0.2">
      <c r="G982" s="69"/>
    </row>
    <row r="983" spans="7:7" ht="15.75" customHeight="1" x14ac:dyDescent="0.2">
      <c r="G983" s="69"/>
    </row>
    <row r="984" spans="7:7" ht="15.75" customHeight="1" x14ac:dyDescent="0.2">
      <c r="G984" s="69"/>
    </row>
    <row r="985" spans="7:7" ht="15.75" customHeight="1" x14ac:dyDescent="0.2">
      <c r="G985" s="69"/>
    </row>
    <row r="986" spans="7:7" ht="15.75" customHeight="1" x14ac:dyDescent="0.2">
      <c r="G986" s="69"/>
    </row>
    <row r="987" spans="7:7" ht="15.75" customHeight="1" x14ac:dyDescent="0.2">
      <c r="G987" s="69"/>
    </row>
    <row r="988" spans="7:7" ht="15.75" customHeight="1" x14ac:dyDescent="0.2">
      <c r="G988" s="69"/>
    </row>
    <row r="989" spans="7:7" ht="15.75" customHeight="1" x14ac:dyDescent="0.2">
      <c r="G989" s="69"/>
    </row>
    <row r="990" spans="7:7" ht="15.75" customHeight="1" x14ac:dyDescent="0.2">
      <c r="G990" s="69"/>
    </row>
    <row r="991" spans="7:7" ht="15.75" customHeight="1" x14ac:dyDescent="0.2">
      <c r="G991" s="69"/>
    </row>
    <row r="992" spans="7:7" ht="15.75" customHeight="1" x14ac:dyDescent="0.2">
      <c r="G992" s="69"/>
    </row>
    <row r="993" spans="7:7" ht="15.75" customHeight="1" x14ac:dyDescent="0.2">
      <c r="G993" s="69"/>
    </row>
    <row r="994" spans="7:7" ht="15.75" customHeight="1" x14ac:dyDescent="0.2">
      <c r="G994" s="69"/>
    </row>
    <row r="995" spans="7:7" ht="15.75" customHeight="1" x14ac:dyDescent="0.2">
      <c r="G995" s="69"/>
    </row>
    <row r="996" spans="7:7" ht="15.75" customHeight="1" x14ac:dyDescent="0.2">
      <c r="G996" s="69"/>
    </row>
  </sheetData>
  <mergeCells count="11">
    <mergeCell ref="A1:J1"/>
    <mergeCell ref="A21:F21"/>
    <mergeCell ref="A11:J11"/>
    <mergeCell ref="A14:J14"/>
    <mergeCell ref="A16:J16"/>
    <mergeCell ref="A18:J18"/>
    <mergeCell ref="A8:J8"/>
    <mergeCell ref="A4:J4"/>
    <mergeCell ref="A2:J2"/>
    <mergeCell ref="A20:B20"/>
    <mergeCell ref="A19:B19"/>
  </mergeCells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3"/>
  <sheetViews>
    <sheetView workbookViewId="0">
      <selection activeCell="A11" sqref="A11"/>
    </sheetView>
  </sheetViews>
  <sheetFormatPr baseColWidth="10" defaultColWidth="12.6640625" defaultRowHeight="15" customHeight="1" x14ac:dyDescent="0.2"/>
  <cols>
    <col min="1" max="1" width="65.1640625" customWidth="1"/>
    <col min="2" max="4" width="10.6640625" customWidth="1"/>
    <col min="5" max="5" width="22.83203125" customWidth="1"/>
    <col min="6" max="6" width="18.6640625" customWidth="1"/>
    <col min="7" max="7" width="10.6640625" customWidth="1"/>
    <col min="8" max="8" width="10.6640625" hidden="1" customWidth="1"/>
    <col min="9" max="9" width="20" customWidth="1"/>
    <col min="10" max="26" width="10.6640625" customWidth="1"/>
  </cols>
  <sheetData>
    <row r="1" spans="1:9" x14ac:dyDescent="0.2">
      <c r="A1" s="272" t="s">
        <v>100</v>
      </c>
      <c r="B1" s="273"/>
      <c r="C1" s="273"/>
      <c r="D1" s="273"/>
      <c r="E1" s="273"/>
      <c r="F1" s="274"/>
    </row>
    <row r="2" spans="1:9" x14ac:dyDescent="0.2">
      <c r="A2" s="295" t="s">
        <v>12</v>
      </c>
      <c r="B2" s="287" t="s">
        <v>13</v>
      </c>
      <c r="C2" s="288" t="s">
        <v>148</v>
      </c>
      <c r="D2" s="289" t="s">
        <v>16</v>
      </c>
      <c r="E2" s="270" t="s">
        <v>149</v>
      </c>
      <c r="F2" s="290" t="s">
        <v>19</v>
      </c>
    </row>
    <row r="3" spans="1:9" x14ac:dyDescent="0.2">
      <c r="A3" s="300"/>
      <c r="B3" s="298"/>
      <c r="C3" s="298"/>
      <c r="D3" s="298"/>
      <c r="E3" s="298"/>
      <c r="F3" s="298"/>
    </row>
    <row r="4" spans="1:9" x14ac:dyDescent="0.2">
      <c r="A4" s="301" t="s">
        <v>177</v>
      </c>
      <c r="B4" s="273"/>
      <c r="C4" s="273"/>
      <c r="D4" s="273"/>
      <c r="E4" s="273"/>
      <c r="F4" s="274"/>
    </row>
    <row r="5" spans="1:9" x14ac:dyDescent="0.2">
      <c r="A5" s="52" t="s">
        <v>254</v>
      </c>
      <c r="B5" s="53" t="s">
        <v>78</v>
      </c>
      <c r="C5" s="54">
        <v>1</v>
      </c>
      <c r="D5" s="146">
        <v>177296</v>
      </c>
      <c r="E5" s="147">
        <f t="shared" ref="E5:E6" si="0">C5*D5</f>
        <v>177296</v>
      </c>
      <c r="F5" s="38"/>
    </row>
    <row r="6" spans="1:9" x14ac:dyDescent="0.2">
      <c r="A6" s="52" t="s">
        <v>255</v>
      </c>
      <c r="B6" s="53" t="s">
        <v>78</v>
      </c>
      <c r="C6" s="54">
        <v>2</v>
      </c>
      <c r="D6" s="146">
        <v>635562</v>
      </c>
      <c r="E6" s="147">
        <f t="shared" si="0"/>
        <v>1271124</v>
      </c>
      <c r="F6" s="38"/>
      <c r="I6" s="214"/>
    </row>
    <row r="7" spans="1:9" x14ac:dyDescent="0.2">
      <c r="A7" s="52" t="s">
        <v>101</v>
      </c>
      <c r="B7" s="53" t="s">
        <v>78</v>
      </c>
      <c r="C7" s="54">
        <v>3</v>
      </c>
      <c r="D7" s="146">
        <f ca="1">COTIZACIONES!CQ72</f>
        <v>1503.8426666666667</v>
      </c>
      <c r="E7" s="147">
        <f ca="1">C7*D7</f>
        <v>4511.5280000000002</v>
      </c>
      <c r="F7" s="38"/>
      <c r="I7" s="148"/>
    </row>
    <row r="8" spans="1:9" x14ac:dyDescent="0.2">
      <c r="A8" s="52" t="s">
        <v>102</v>
      </c>
      <c r="B8" s="53" t="s">
        <v>78</v>
      </c>
      <c r="C8" s="54">
        <v>6</v>
      </c>
      <c r="D8" s="146">
        <f ca="1">COTIZACIONES!CQ73</f>
        <v>5257.5786666666672</v>
      </c>
      <c r="E8" s="147">
        <f t="shared" ref="E8:E23" ca="1" si="1">C8*D8</f>
        <v>31545.472000000002</v>
      </c>
      <c r="F8" s="38"/>
      <c r="I8" s="148"/>
    </row>
    <row r="9" spans="1:9" x14ac:dyDescent="0.2">
      <c r="A9" s="52" t="s">
        <v>103</v>
      </c>
      <c r="B9" s="53" t="s">
        <v>78</v>
      </c>
      <c r="C9" s="54">
        <v>3</v>
      </c>
      <c r="D9" s="146">
        <f ca="1">COTIZACIONES!CQ74</f>
        <v>1169.3733333333332</v>
      </c>
      <c r="E9" s="147">
        <f t="shared" ca="1" si="1"/>
        <v>3508.12</v>
      </c>
      <c r="F9" s="38"/>
      <c r="I9" s="148"/>
    </row>
    <row r="10" spans="1:9" x14ac:dyDescent="0.2">
      <c r="A10" s="52" t="s">
        <v>104</v>
      </c>
      <c r="B10" s="53" t="s">
        <v>78</v>
      </c>
      <c r="C10" s="54">
        <v>6</v>
      </c>
      <c r="D10" s="146">
        <f ca="1">COTIZACIONES!CQ75</f>
        <v>3686.3026666666633</v>
      </c>
      <c r="E10" s="147">
        <f t="shared" ca="1" si="1"/>
        <v>22117.815999999981</v>
      </c>
      <c r="F10" s="38"/>
      <c r="I10" s="148"/>
    </row>
    <row r="11" spans="1:9" x14ac:dyDescent="0.2">
      <c r="A11" s="52" t="s">
        <v>105</v>
      </c>
      <c r="B11" s="53" t="s">
        <v>78</v>
      </c>
      <c r="C11" s="54">
        <v>11</v>
      </c>
      <c r="D11" s="146">
        <f ca="1">COTIZACIONES!CQ76</f>
        <v>1993.0119999999999</v>
      </c>
      <c r="E11" s="147">
        <f t="shared" ca="1" si="1"/>
        <v>21923.131999999998</v>
      </c>
      <c r="F11" s="38"/>
      <c r="I11" s="148"/>
    </row>
    <row r="12" spans="1:9" x14ac:dyDescent="0.2">
      <c r="A12" s="52" t="s">
        <v>106</v>
      </c>
      <c r="B12" s="53" t="s">
        <v>78</v>
      </c>
      <c r="C12" s="54">
        <v>2</v>
      </c>
      <c r="D12" s="146">
        <f ca="1">COTIZACIONES!CQ77</f>
        <v>2081.4686666666662</v>
      </c>
      <c r="E12" s="147">
        <f t="shared" ca="1" si="1"/>
        <v>4162.9373333333324</v>
      </c>
      <c r="F12" s="38"/>
      <c r="I12" s="148"/>
    </row>
    <row r="13" spans="1:9" x14ac:dyDescent="0.2">
      <c r="A13" s="52" t="s">
        <v>107</v>
      </c>
      <c r="B13" s="53" t="s">
        <v>78</v>
      </c>
      <c r="C13" s="54">
        <v>6</v>
      </c>
      <c r="D13" s="146">
        <f ca="1">COTIZACIONES!CQ78</f>
        <v>4046</v>
      </c>
      <c r="E13" s="147">
        <f t="shared" ca="1" si="1"/>
        <v>24276</v>
      </c>
      <c r="F13" s="38"/>
      <c r="I13" s="148"/>
    </row>
    <row r="14" spans="1:9" x14ac:dyDescent="0.2">
      <c r="A14" s="52" t="s">
        <v>108</v>
      </c>
      <c r="B14" s="53" t="s">
        <v>78</v>
      </c>
      <c r="C14" s="54">
        <v>12</v>
      </c>
      <c r="D14" s="146">
        <f ca="1">COTIZACIONES!CQ79</f>
        <v>5355</v>
      </c>
      <c r="E14" s="147">
        <f t="shared" ca="1" si="1"/>
        <v>64260</v>
      </c>
      <c r="F14" s="38"/>
      <c r="I14" s="148"/>
    </row>
    <row r="15" spans="1:9" x14ac:dyDescent="0.2">
      <c r="A15" s="52" t="s">
        <v>109</v>
      </c>
      <c r="B15" s="53" t="s">
        <v>78</v>
      </c>
      <c r="C15" s="54">
        <v>1</v>
      </c>
      <c r="D15" s="146">
        <f ca="1">COTIZACIONES!CQ80</f>
        <v>12561.560666666666</v>
      </c>
      <c r="E15" s="147">
        <f t="shared" ca="1" si="1"/>
        <v>12561.560666666666</v>
      </c>
      <c r="F15" s="38"/>
      <c r="H15" s="55"/>
      <c r="I15" s="148"/>
    </row>
    <row r="16" spans="1:9" x14ac:dyDescent="0.2">
      <c r="A16" s="52" t="s">
        <v>110</v>
      </c>
      <c r="B16" s="53" t="s">
        <v>78</v>
      </c>
      <c r="C16" s="54">
        <v>1</v>
      </c>
      <c r="D16" s="146">
        <f ca="1">COTIZACIONES!CQ81</f>
        <v>20155.347333333331</v>
      </c>
      <c r="E16" s="147">
        <f t="shared" ca="1" si="1"/>
        <v>20155.347333333331</v>
      </c>
      <c r="F16" s="38"/>
      <c r="H16" s="55"/>
      <c r="I16" s="148"/>
    </row>
    <row r="17" spans="1:9" x14ac:dyDescent="0.2">
      <c r="A17" s="52" t="s">
        <v>111</v>
      </c>
      <c r="B17" s="53" t="s">
        <v>78</v>
      </c>
      <c r="C17" s="54">
        <v>400</v>
      </c>
      <c r="D17" s="146">
        <f>COTIZACIONES!CQ82</f>
        <v>1467.6666666666667</v>
      </c>
      <c r="E17" s="147">
        <f t="shared" si="1"/>
        <v>587066.66666666674</v>
      </c>
      <c r="F17" s="38"/>
      <c r="H17" s="108">
        <v>1400</v>
      </c>
      <c r="I17" s="148"/>
    </row>
    <row r="18" spans="1:9" x14ac:dyDescent="0.2">
      <c r="A18" s="52" t="s">
        <v>112</v>
      </c>
      <c r="B18" s="53" t="s">
        <v>78</v>
      </c>
      <c r="C18" s="54">
        <v>1</v>
      </c>
      <c r="D18" s="146">
        <f ca="1">COTIZACIONES!CQ83</f>
        <v>31917.466</v>
      </c>
      <c r="E18" s="147">
        <f t="shared" ca="1" si="1"/>
        <v>31917.466</v>
      </c>
      <c r="F18" s="38"/>
      <c r="H18" s="108"/>
      <c r="I18" s="148"/>
    </row>
    <row r="19" spans="1:9" x14ac:dyDescent="0.2">
      <c r="A19" s="52" t="s">
        <v>113</v>
      </c>
      <c r="B19" s="53" t="s">
        <v>78</v>
      </c>
      <c r="C19" s="54">
        <v>7</v>
      </c>
      <c r="D19" s="146">
        <f ca="1">COTIZACIONES!CQ84</f>
        <v>3693.5219999999995</v>
      </c>
      <c r="E19" s="147">
        <f t="shared" ca="1" si="1"/>
        <v>25854.653999999995</v>
      </c>
      <c r="F19" s="38"/>
      <c r="H19" s="108"/>
      <c r="I19" s="148"/>
    </row>
    <row r="20" spans="1:9" x14ac:dyDescent="0.2">
      <c r="A20" s="52" t="s">
        <v>114</v>
      </c>
      <c r="B20" s="53" t="s">
        <v>78</v>
      </c>
      <c r="C20" s="54">
        <v>2</v>
      </c>
      <c r="D20" s="146">
        <f ca="1">COTIZACIONES!CQ85</f>
        <v>17552.341333333334</v>
      </c>
      <c r="E20" s="147">
        <f t="shared" ca="1" si="1"/>
        <v>35104.682666666668</v>
      </c>
      <c r="F20" s="38"/>
      <c r="H20" s="108"/>
      <c r="I20" s="148"/>
    </row>
    <row r="21" spans="1:9" x14ac:dyDescent="0.2">
      <c r="A21" s="52" t="s">
        <v>115</v>
      </c>
      <c r="B21" s="53" t="s">
        <v>78</v>
      </c>
      <c r="C21" s="54">
        <v>5</v>
      </c>
      <c r="D21" s="146">
        <f ca="1">COTIZACIONES!CQ86</f>
        <v>41014.857333333341</v>
      </c>
      <c r="E21" s="147">
        <f t="shared" ca="1" si="1"/>
        <v>205074.28666666671</v>
      </c>
      <c r="F21" s="38"/>
      <c r="H21" s="108"/>
      <c r="I21" s="148"/>
    </row>
    <row r="22" spans="1:9" x14ac:dyDescent="0.2">
      <c r="A22" s="52" t="s">
        <v>116</v>
      </c>
      <c r="B22" s="53" t="s">
        <v>78</v>
      </c>
      <c r="C22" s="54">
        <v>2</v>
      </c>
      <c r="D22" s="146">
        <f ca="1">COTIZACIONES!CQ87</f>
        <v>15065.995000000001</v>
      </c>
      <c r="E22" s="147">
        <f t="shared" ca="1" si="1"/>
        <v>30131.99</v>
      </c>
      <c r="F22" s="38"/>
      <c r="H22" s="108"/>
      <c r="I22" s="148"/>
    </row>
    <row r="23" spans="1:9" ht="15.75" customHeight="1" x14ac:dyDescent="0.2">
      <c r="A23" s="52" t="s">
        <v>117</v>
      </c>
      <c r="B23" s="53" t="s">
        <v>78</v>
      </c>
      <c r="C23" s="54">
        <v>2</v>
      </c>
      <c r="D23" s="146">
        <f ca="1">COTIZACIONES!CQ88</f>
        <v>37116.695</v>
      </c>
      <c r="E23" s="147">
        <f t="shared" ca="1" si="1"/>
        <v>74233.39</v>
      </c>
      <c r="F23" s="38"/>
      <c r="H23" s="108"/>
      <c r="I23" s="148"/>
    </row>
    <row r="24" spans="1:9" ht="15.75" customHeight="1" x14ac:dyDescent="0.2">
      <c r="A24" s="57" t="s">
        <v>118</v>
      </c>
      <c r="B24" s="53" t="s">
        <v>78</v>
      </c>
      <c r="C24" s="54">
        <v>2</v>
      </c>
      <c r="D24" s="146">
        <f ca="1">COTIZACIONES!CQ89</f>
        <v>8482.7960000000003</v>
      </c>
      <c r="E24" s="147">
        <f ca="1">C24*D24</f>
        <v>16965.592000000001</v>
      </c>
      <c r="F24" s="38"/>
      <c r="H24" s="108"/>
      <c r="I24" s="148"/>
    </row>
    <row r="25" spans="1:9" ht="15.75" customHeight="1" x14ac:dyDescent="0.2">
      <c r="A25" s="302" t="s">
        <v>178</v>
      </c>
      <c r="B25" s="273"/>
      <c r="C25" s="273"/>
      <c r="D25" s="274"/>
      <c r="E25" s="109"/>
      <c r="F25" s="38"/>
      <c r="H25" s="108"/>
    </row>
    <row r="26" spans="1:9" ht="15.75" customHeight="1" x14ac:dyDescent="0.2">
      <c r="A26" s="60" t="s">
        <v>179</v>
      </c>
      <c r="B26" s="35" t="s">
        <v>120</v>
      </c>
      <c r="C26" s="62">
        <v>6</v>
      </c>
      <c r="D26" s="146">
        <v>22000</v>
      </c>
      <c r="E26" s="147">
        <f>C26*D26</f>
        <v>132000</v>
      </c>
      <c r="F26" s="38"/>
      <c r="H26" s="108"/>
    </row>
    <row r="27" spans="1:9" ht="15.75" customHeight="1" x14ac:dyDescent="0.2">
      <c r="A27" s="52" t="s">
        <v>105</v>
      </c>
      <c r="B27" s="53" t="s">
        <v>78</v>
      </c>
      <c r="C27" s="54">
        <v>2</v>
      </c>
      <c r="D27" s="146">
        <f ca="1">COTIZACIONES!CQ90</f>
        <v>1993.0119999999999</v>
      </c>
      <c r="E27" s="147">
        <f t="shared" ref="E27:E29" ca="1" si="2">C27*D27</f>
        <v>3986.0239999999999</v>
      </c>
      <c r="F27" s="38"/>
      <c r="H27" s="108"/>
      <c r="I27" s="148"/>
    </row>
    <row r="28" spans="1:9" ht="25.25" customHeight="1" x14ac:dyDescent="0.2">
      <c r="A28" s="58" t="s">
        <v>119</v>
      </c>
      <c r="B28" s="35" t="s">
        <v>120</v>
      </c>
      <c r="C28" s="59">
        <v>1.7</v>
      </c>
      <c r="D28" s="146">
        <f>COTIZACIONES!CQ91</f>
        <v>162633.33333333334</v>
      </c>
      <c r="E28" s="147">
        <f t="shared" si="2"/>
        <v>276476.66666666669</v>
      </c>
      <c r="F28" s="38"/>
      <c r="H28" s="108">
        <v>150000</v>
      </c>
      <c r="I28" s="148"/>
    </row>
    <row r="29" spans="1:9" ht="15.75" customHeight="1" x14ac:dyDescent="0.2">
      <c r="A29" s="60" t="s">
        <v>121</v>
      </c>
      <c r="B29" s="61" t="s">
        <v>122</v>
      </c>
      <c r="C29" s="62">
        <v>8</v>
      </c>
      <c r="D29" s="146">
        <f>COTIZACIONES!CQ92</f>
        <v>22015</v>
      </c>
      <c r="E29" s="147">
        <f t="shared" si="2"/>
        <v>176120</v>
      </c>
      <c r="F29" s="38"/>
      <c r="H29" s="108">
        <v>20000</v>
      </c>
      <c r="I29" s="148"/>
    </row>
    <row r="30" spans="1:9" ht="15.75" customHeight="1" x14ac:dyDescent="0.2">
      <c r="A30" s="302" t="s">
        <v>180</v>
      </c>
      <c r="B30" s="273"/>
      <c r="C30" s="274"/>
      <c r="D30" s="110"/>
      <c r="E30" s="111">
        <f ca="1">SUM(E5:E24)+SUM(E26:E29)</f>
        <v>3252373.3320000009</v>
      </c>
      <c r="F30" s="38"/>
      <c r="H30" s="55"/>
      <c r="I30" s="148"/>
    </row>
    <row r="31" spans="1:9" ht="15.75" customHeight="1" x14ac:dyDescent="0.2">
      <c r="A31" s="101" t="s">
        <v>155</v>
      </c>
      <c r="B31" s="102"/>
      <c r="C31" s="102"/>
      <c r="D31" s="20"/>
      <c r="E31" s="20"/>
      <c r="F31" s="48"/>
      <c r="H31" s="55"/>
      <c r="I31" s="148"/>
    </row>
    <row r="32" spans="1:9" ht="15.75" customHeight="1" x14ac:dyDescent="0.2">
      <c r="A32" s="29" t="s">
        <v>156</v>
      </c>
      <c r="B32" s="26" t="s">
        <v>157</v>
      </c>
      <c r="C32" s="26">
        <v>1</v>
      </c>
      <c r="D32" s="20">
        <f ca="1">E30*0.2</f>
        <v>650474.66640000022</v>
      </c>
      <c r="E32" s="20">
        <f ca="1">D32</f>
        <v>650474.66640000022</v>
      </c>
      <c r="F32" s="48"/>
      <c r="H32" s="55"/>
      <c r="I32" s="148"/>
    </row>
    <row r="33" spans="1:9" ht="15.75" customHeight="1" x14ac:dyDescent="0.2">
      <c r="A33" s="272" t="s">
        <v>162</v>
      </c>
      <c r="B33" s="273"/>
      <c r="C33" s="273"/>
      <c r="D33" s="274"/>
      <c r="E33" s="96">
        <f ca="1">E30+E32</f>
        <v>3902847.9984000009</v>
      </c>
      <c r="F33" s="38"/>
      <c r="H33" s="55"/>
    </row>
    <row r="34" spans="1:9" ht="15.75" customHeight="1" x14ac:dyDescent="0.2">
      <c r="A34" s="272" t="s">
        <v>163</v>
      </c>
      <c r="B34" s="273"/>
      <c r="C34" s="273"/>
      <c r="D34" s="274"/>
      <c r="E34" s="97">
        <f ca="1">E33*80</f>
        <v>312227839.8720001</v>
      </c>
      <c r="F34" s="38"/>
    </row>
    <row r="35" spans="1:9" ht="15.75" customHeight="1" x14ac:dyDescent="0.2">
      <c r="I35" s="143"/>
    </row>
    <row r="36" spans="1:9" ht="15.75" customHeight="1" x14ac:dyDescent="0.2">
      <c r="E36" s="143"/>
    </row>
    <row r="37" spans="1:9" ht="15.75" customHeight="1" x14ac:dyDescent="0.2">
      <c r="E37" s="143"/>
    </row>
    <row r="38" spans="1:9" ht="15.75" customHeight="1" x14ac:dyDescent="0.2">
      <c r="I38" s="214"/>
    </row>
    <row r="39" spans="1:9" ht="15.75" customHeight="1" x14ac:dyDescent="0.2"/>
    <row r="40" spans="1:9" ht="15.75" customHeight="1" x14ac:dyDescent="0.2"/>
    <row r="41" spans="1:9" ht="15.75" customHeight="1" x14ac:dyDescent="0.2"/>
    <row r="42" spans="1:9" ht="15.7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2">
    <mergeCell ref="A25:D25"/>
    <mergeCell ref="A30:C30"/>
    <mergeCell ref="A33:D33"/>
    <mergeCell ref="A34:D34"/>
    <mergeCell ref="A4:F4"/>
    <mergeCell ref="A1:F1"/>
    <mergeCell ref="A2:A3"/>
    <mergeCell ref="B2:B3"/>
    <mergeCell ref="C2:C3"/>
    <mergeCell ref="E2:E3"/>
    <mergeCell ref="F2:F3"/>
    <mergeCell ref="D2:D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9"/>
  <sheetViews>
    <sheetView workbookViewId="0">
      <selection activeCell="A7" sqref="A7"/>
    </sheetView>
  </sheetViews>
  <sheetFormatPr baseColWidth="10" defaultColWidth="12.6640625" defaultRowHeight="15" customHeight="1" x14ac:dyDescent="0.2"/>
  <cols>
    <col min="1" max="1" width="48.6640625" customWidth="1"/>
    <col min="2" max="3" width="10.6640625" customWidth="1"/>
    <col min="4" max="4" width="16.83203125" customWidth="1"/>
    <col min="5" max="5" width="15.6640625" customWidth="1"/>
    <col min="6" max="6" width="29.6640625" customWidth="1"/>
    <col min="7" max="26" width="10.6640625" customWidth="1"/>
  </cols>
  <sheetData>
    <row r="1" spans="1:6" x14ac:dyDescent="0.2">
      <c r="A1" s="272" t="s">
        <v>123</v>
      </c>
      <c r="B1" s="273"/>
      <c r="C1" s="273"/>
      <c r="D1" s="273"/>
      <c r="E1" s="273"/>
      <c r="F1" s="274"/>
    </row>
    <row r="2" spans="1:6" x14ac:dyDescent="0.2">
      <c r="A2" s="295" t="s">
        <v>12</v>
      </c>
      <c r="B2" s="287" t="s">
        <v>13</v>
      </c>
      <c r="C2" s="288" t="s">
        <v>148</v>
      </c>
      <c r="D2" s="289" t="s">
        <v>16</v>
      </c>
      <c r="E2" s="270" t="s">
        <v>149</v>
      </c>
      <c r="F2" s="290" t="s">
        <v>19</v>
      </c>
    </row>
    <row r="3" spans="1:6" x14ac:dyDescent="0.2">
      <c r="A3" s="296"/>
      <c r="B3" s="284"/>
      <c r="C3" s="284"/>
      <c r="D3" s="284"/>
      <c r="E3" s="284"/>
      <c r="F3" s="284"/>
    </row>
    <row r="4" spans="1:6" x14ac:dyDescent="0.2">
      <c r="A4" s="272" t="s">
        <v>181</v>
      </c>
      <c r="B4" s="273"/>
      <c r="C4" s="273"/>
      <c r="D4" s="273"/>
      <c r="E4" s="273"/>
      <c r="F4" s="274"/>
    </row>
    <row r="5" spans="1:6" ht="144" x14ac:dyDescent="0.2">
      <c r="A5" s="63" t="s">
        <v>182</v>
      </c>
      <c r="B5" s="35" t="s">
        <v>183</v>
      </c>
      <c r="C5" s="139">
        <v>12</v>
      </c>
      <c r="D5" s="20">
        <v>5187007</v>
      </c>
      <c r="E5" s="20">
        <f t="shared" ref="E5:E10" si="0">D5*C5</f>
        <v>62244084</v>
      </c>
      <c r="F5" s="38"/>
    </row>
    <row r="6" spans="1:6" ht="91.5" customHeight="1" x14ac:dyDescent="0.2">
      <c r="A6" s="63" t="s">
        <v>184</v>
      </c>
      <c r="B6" s="35" t="s">
        <v>144</v>
      </c>
      <c r="C6" s="139">
        <v>12</v>
      </c>
      <c r="D6" s="20">
        <v>3593502</v>
      </c>
      <c r="E6" s="20">
        <f t="shared" si="0"/>
        <v>43122024</v>
      </c>
      <c r="F6" s="38"/>
    </row>
    <row r="7" spans="1:6" ht="93.75" customHeight="1" x14ac:dyDescent="0.2">
      <c r="A7" s="63" t="s">
        <v>184</v>
      </c>
      <c r="B7" s="35" t="s">
        <v>144</v>
      </c>
      <c r="C7" s="139">
        <v>12</v>
      </c>
      <c r="D7" s="20">
        <v>3593502</v>
      </c>
      <c r="E7" s="20">
        <f t="shared" si="0"/>
        <v>43122024</v>
      </c>
      <c r="F7" s="38"/>
    </row>
    <row r="8" spans="1:6" ht="33.5" customHeight="1" x14ac:dyDescent="0.2">
      <c r="A8" s="145" t="s">
        <v>192</v>
      </c>
      <c r="B8" s="35" t="s">
        <v>215</v>
      </c>
      <c r="C8" s="139">
        <v>6</v>
      </c>
      <c r="D8" s="20">
        <f ca="1">COTIZACIONES!CQ94</f>
        <v>45668.630000000005</v>
      </c>
      <c r="E8" s="20">
        <f ca="1">D8*C8</f>
        <v>274011.78000000003</v>
      </c>
      <c r="F8" s="38"/>
    </row>
    <row r="9" spans="1:6" ht="29" customHeight="1" x14ac:dyDescent="0.2">
      <c r="A9" s="145" t="s">
        <v>193</v>
      </c>
      <c r="B9" s="35" t="s">
        <v>214</v>
      </c>
      <c r="C9" s="139">
        <v>3</v>
      </c>
      <c r="D9" s="20">
        <f ca="1">COTIZACIONES!CQ95</f>
        <v>43478.236666666664</v>
      </c>
      <c r="E9" s="20">
        <f t="shared" ca="1" si="0"/>
        <v>130434.70999999999</v>
      </c>
      <c r="F9" s="38"/>
    </row>
    <row r="10" spans="1:6" ht="31.25" customHeight="1" x14ac:dyDescent="0.2">
      <c r="A10" s="145" t="s">
        <v>194</v>
      </c>
      <c r="B10" s="47" t="s">
        <v>146</v>
      </c>
      <c r="C10" s="139">
        <v>3</v>
      </c>
      <c r="D10" s="20">
        <f ca="1">COTIZACIONES!CQ96</f>
        <v>29670.666666666668</v>
      </c>
      <c r="E10" s="20">
        <f t="shared" ca="1" si="0"/>
        <v>89012</v>
      </c>
      <c r="F10" s="38"/>
    </row>
    <row r="11" spans="1:6" x14ac:dyDescent="0.2">
      <c r="A11" s="303" t="s">
        <v>185</v>
      </c>
      <c r="B11" s="273"/>
      <c r="C11" s="273"/>
      <c r="D11" s="274"/>
      <c r="E11" s="71">
        <f ca="1">SUM(E5:E10)</f>
        <v>148981590.49000001</v>
      </c>
      <c r="F11" s="38"/>
    </row>
    <row r="13" spans="1:6" x14ac:dyDescent="0.2">
      <c r="A13" s="304" t="s">
        <v>260</v>
      </c>
      <c r="B13" s="304"/>
      <c r="C13" s="304"/>
      <c r="D13" s="20">
        <f ca="1">E13/12</f>
        <v>5200714.1802777769</v>
      </c>
      <c r="E13" s="20">
        <f ca="1">E5+(D8*2)+D9+D10</f>
        <v>62408570.163333327</v>
      </c>
      <c r="F13" s="217"/>
    </row>
    <row r="14" spans="1:6" ht="15" customHeight="1" x14ac:dyDescent="0.2">
      <c r="A14" s="304" t="s">
        <v>261</v>
      </c>
      <c r="B14" s="304"/>
      <c r="C14" s="304"/>
      <c r="D14" s="20">
        <f ca="1">E14/12</f>
        <v>7214418.3605555547</v>
      </c>
      <c r="E14" s="20">
        <f ca="1">E6+E7+D8*4+D9*2+D10*2</f>
        <v>86573020.326666653</v>
      </c>
      <c r="F14" s="217"/>
    </row>
    <row r="15" spans="1:6" ht="15" customHeight="1" x14ac:dyDescent="0.2">
      <c r="A15" s="304" t="s">
        <v>185</v>
      </c>
      <c r="B15" s="305"/>
      <c r="C15" s="305"/>
      <c r="D15" s="305"/>
      <c r="E15" s="218">
        <f ca="1">E11</f>
        <v>148981590.49000001</v>
      </c>
      <c r="F15" s="217"/>
    </row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2">
    <mergeCell ref="A4:F4"/>
    <mergeCell ref="A11:D11"/>
    <mergeCell ref="A15:D15"/>
    <mergeCell ref="A1:F1"/>
    <mergeCell ref="A2:A3"/>
    <mergeCell ref="B2:B3"/>
    <mergeCell ref="C2:C3"/>
    <mergeCell ref="D2:D3"/>
    <mergeCell ref="E2:E3"/>
    <mergeCell ref="F2:F3"/>
    <mergeCell ref="A13:C13"/>
    <mergeCell ref="A14:C14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0"/>
  <sheetViews>
    <sheetView workbookViewId="0">
      <selection activeCell="B14" sqref="B14"/>
    </sheetView>
  </sheetViews>
  <sheetFormatPr baseColWidth="10" defaultColWidth="12.6640625" defaultRowHeight="15" customHeight="1" x14ac:dyDescent="0.2"/>
  <cols>
    <col min="1" max="1" width="46" customWidth="1"/>
    <col min="2" max="3" width="10.6640625" customWidth="1"/>
    <col min="4" max="4" width="16.1640625" customWidth="1"/>
    <col min="5" max="5" width="13" customWidth="1"/>
    <col min="6" max="6" width="27.33203125" customWidth="1"/>
    <col min="7" max="26" width="10.6640625" customWidth="1"/>
  </cols>
  <sheetData>
    <row r="1" spans="1:6" x14ac:dyDescent="0.2">
      <c r="A1" s="272" t="s">
        <v>125</v>
      </c>
      <c r="B1" s="273"/>
      <c r="C1" s="273"/>
      <c r="D1" s="273"/>
      <c r="E1" s="273"/>
      <c r="F1" s="274"/>
    </row>
    <row r="2" spans="1:6" x14ac:dyDescent="0.2">
      <c r="A2" s="295" t="s">
        <v>12</v>
      </c>
      <c r="B2" s="287" t="s">
        <v>13</v>
      </c>
      <c r="C2" s="288" t="s">
        <v>148</v>
      </c>
      <c r="D2" s="289" t="s">
        <v>16</v>
      </c>
      <c r="E2" s="270" t="s">
        <v>149</v>
      </c>
      <c r="F2" s="290" t="s">
        <v>19</v>
      </c>
    </row>
    <row r="3" spans="1:6" x14ac:dyDescent="0.2">
      <c r="A3" s="296"/>
      <c r="B3" s="284"/>
      <c r="C3" s="284"/>
      <c r="D3" s="284"/>
      <c r="E3" s="284"/>
      <c r="F3" s="284"/>
    </row>
    <row r="4" spans="1:6" x14ac:dyDescent="0.2">
      <c r="A4" s="306" t="s">
        <v>186</v>
      </c>
      <c r="B4" s="307"/>
      <c r="C4" s="307"/>
      <c r="D4" s="307"/>
      <c r="E4" s="307"/>
      <c r="F4" s="308"/>
    </row>
    <row r="5" spans="1:6" ht="32" x14ac:dyDescent="0.2">
      <c r="A5" s="64" t="s">
        <v>126</v>
      </c>
      <c r="B5" s="47" t="s">
        <v>127</v>
      </c>
      <c r="C5" s="47">
        <v>80</v>
      </c>
      <c r="D5" s="65">
        <f ca="1">COTIZACIONES!CQ98</f>
        <v>13099.5</v>
      </c>
      <c r="E5" s="65">
        <f t="shared" ref="E5:E7" ca="1" si="0">D5*C5</f>
        <v>1047960</v>
      </c>
      <c r="F5" s="66"/>
    </row>
    <row r="6" spans="1:6" ht="32" x14ac:dyDescent="0.2">
      <c r="A6" s="64" t="s">
        <v>128</v>
      </c>
      <c r="B6" s="47" t="s">
        <v>127</v>
      </c>
      <c r="C6" s="47">
        <v>80</v>
      </c>
      <c r="D6" s="65">
        <f ca="1">COTIZACIONES!CQ99</f>
        <v>13099.5</v>
      </c>
      <c r="E6" s="65">
        <f t="shared" ca="1" si="0"/>
        <v>1047960</v>
      </c>
      <c r="F6" s="66"/>
    </row>
    <row r="7" spans="1:6" ht="32" x14ac:dyDescent="0.2">
      <c r="A7" s="64" t="s">
        <v>129</v>
      </c>
      <c r="B7" s="47" t="s">
        <v>127</v>
      </c>
      <c r="C7" s="47">
        <v>80</v>
      </c>
      <c r="D7" s="65">
        <f ca="1">COTIZACIONES!CQ100</f>
        <v>13099.5</v>
      </c>
      <c r="E7" s="65">
        <f t="shared" ca="1" si="0"/>
        <v>1047960</v>
      </c>
      <c r="F7" s="66"/>
    </row>
    <row r="8" spans="1:6" ht="16" x14ac:dyDescent="0.2">
      <c r="A8" s="64" t="s">
        <v>130</v>
      </c>
      <c r="B8" s="47" t="s">
        <v>131</v>
      </c>
      <c r="C8" s="47">
        <v>12</v>
      </c>
      <c r="D8" s="65">
        <f>COTIZACIONES!CQ101</f>
        <v>680900</v>
      </c>
      <c r="E8" s="65">
        <f>C8*D8</f>
        <v>8170800</v>
      </c>
      <c r="F8" s="66"/>
    </row>
    <row r="9" spans="1:6" x14ac:dyDescent="0.2">
      <c r="A9" s="303" t="s">
        <v>187</v>
      </c>
      <c r="B9" s="273"/>
      <c r="C9" s="273"/>
      <c r="D9" s="274"/>
      <c r="E9" s="71">
        <f ca="1">SUM(E5:E8)</f>
        <v>11314680</v>
      </c>
      <c r="F9" s="66"/>
    </row>
    <row r="10" spans="1:6" x14ac:dyDescent="0.2">
      <c r="A10" s="67"/>
      <c r="B10" s="67"/>
      <c r="C10" s="67"/>
      <c r="D10" s="112"/>
      <c r="E10" s="112"/>
      <c r="F10" s="67"/>
    </row>
    <row r="11" spans="1:6" x14ac:dyDescent="0.2">
      <c r="A11" s="67"/>
      <c r="B11" s="67"/>
      <c r="C11" s="67"/>
      <c r="D11" s="112"/>
      <c r="E11" s="112"/>
      <c r="F11" s="67"/>
    </row>
    <row r="12" spans="1:6" x14ac:dyDescent="0.2">
      <c r="A12" s="67"/>
      <c r="B12" s="67"/>
      <c r="C12" s="67"/>
      <c r="D12" s="112"/>
      <c r="E12" s="112"/>
      <c r="F12" s="67"/>
    </row>
    <row r="13" spans="1:6" x14ac:dyDescent="0.2">
      <c r="A13" s="67"/>
      <c r="B13" s="67"/>
      <c r="C13" s="67"/>
      <c r="D13" s="112"/>
      <c r="E13" s="112"/>
      <c r="F13" s="67"/>
    </row>
    <row r="14" spans="1:6" x14ac:dyDescent="0.2">
      <c r="A14" s="67"/>
      <c r="B14" s="67"/>
      <c r="C14" s="67"/>
      <c r="D14" s="112"/>
      <c r="E14" s="112"/>
      <c r="F14" s="67"/>
    </row>
    <row r="15" spans="1:6" x14ac:dyDescent="0.2">
      <c r="A15" s="67"/>
      <c r="B15" s="67"/>
      <c r="C15" s="67"/>
      <c r="D15" s="112"/>
      <c r="E15" s="112"/>
      <c r="F15" s="67"/>
    </row>
    <row r="16" spans="1:6" x14ac:dyDescent="0.2">
      <c r="A16" s="67"/>
      <c r="B16" s="67"/>
      <c r="C16" s="67"/>
      <c r="D16" s="112"/>
      <c r="E16" s="112"/>
      <c r="F16" s="6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A4:F4"/>
    <mergeCell ref="A9:D9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0"/>
  <sheetViews>
    <sheetView workbookViewId="0">
      <selection activeCell="E23" sqref="E23"/>
    </sheetView>
  </sheetViews>
  <sheetFormatPr baseColWidth="10" defaultColWidth="12.6640625" defaultRowHeight="15" customHeight="1" x14ac:dyDescent="0.2"/>
  <cols>
    <col min="1" max="1" width="40.6640625" customWidth="1"/>
    <col min="2" max="4" width="10.6640625" customWidth="1"/>
    <col min="5" max="5" width="13.6640625" customWidth="1"/>
    <col min="6" max="6" width="16.5" customWidth="1"/>
    <col min="7" max="26" width="10.6640625" customWidth="1"/>
  </cols>
  <sheetData>
    <row r="1" spans="1:6" x14ac:dyDescent="0.2">
      <c r="A1" s="272" t="s">
        <v>132</v>
      </c>
      <c r="B1" s="273"/>
      <c r="C1" s="273"/>
      <c r="D1" s="273"/>
      <c r="E1" s="273"/>
      <c r="F1" s="274"/>
    </row>
    <row r="2" spans="1:6" x14ac:dyDescent="0.2">
      <c r="A2" s="295" t="s">
        <v>12</v>
      </c>
      <c r="B2" s="287" t="s">
        <v>13</v>
      </c>
      <c r="C2" s="288" t="s">
        <v>148</v>
      </c>
      <c r="D2" s="289" t="s">
        <v>16</v>
      </c>
      <c r="E2" s="270" t="s">
        <v>149</v>
      </c>
      <c r="F2" s="290" t="s">
        <v>19</v>
      </c>
    </row>
    <row r="3" spans="1:6" ht="24.75" customHeight="1" x14ac:dyDescent="0.2">
      <c r="A3" s="296"/>
      <c r="B3" s="284"/>
      <c r="C3" s="284"/>
      <c r="D3" s="284"/>
      <c r="E3" s="284"/>
      <c r="F3" s="284"/>
    </row>
    <row r="4" spans="1:6" x14ac:dyDescent="0.2">
      <c r="A4" s="306" t="s">
        <v>186</v>
      </c>
      <c r="B4" s="307"/>
      <c r="C4" s="307"/>
      <c r="D4" s="307"/>
      <c r="E4" s="307"/>
      <c r="F4" s="308"/>
    </row>
    <row r="5" spans="1:6" ht="32" x14ac:dyDescent="0.2">
      <c r="A5" s="64" t="s">
        <v>245</v>
      </c>
      <c r="B5" s="47" t="s">
        <v>13</v>
      </c>
      <c r="C5" s="47">
        <v>80</v>
      </c>
      <c r="D5" s="65">
        <f ca="1">COTIZACIONES!CQ103</f>
        <v>28401.333333333332</v>
      </c>
      <c r="E5" s="65">
        <f ca="1">D5*C5</f>
        <v>2272106.6666666665</v>
      </c>
      <c r="F5" s="66"/>
    </row>
    <row r="6" spans="1:6" x14ac:dyDescent="0.2">
      <c r="A6" s="303" t="s">
        <v>187</v>
      </c>
      <c r="B6" s="273"/>
      <c r="C6" s="273"/>
      <c r="D6" s="274"/>
      <c r="E6" s="71">
        <f ca="1">SUM(E5)</f>
        <v>2272106.6666666665</v>
      </c>
      <c r="F6" s="66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A4:F4"/>
    <mergeCell ref="A6:D6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9135-A9CA-4747-BAC7-69D1F9838665}">
  <dimension ref="A1"/>
  <sheetViews>
    <sheetView zoomScale="120" zoomScaleNormal="120"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16BC-FF1E-4E76-A1CD-70B346215D8E}">
  <dimension ref="A1:O14"/>
  <sheetViews>
    <sheetView zoomScale="60" zoomScaleNormal="60" workbookViewId="0">
      <selection activeCell="C29" sqref="C29"/>
    </sheetView>
  </sheetViews>
  <sheetFormatPr baseColWidth="10" defaultColWidth="11.5" defaultRowHeight="15" x14ac:dyDescent="0.2"/>
  <cols>
    <col min="1" max="1" width="109.5" style="171" customWidth="1"/>
    <col min="2" max="2" width="25.5" style="150" customWidth="1"/>
    <col min="3" max="3" width="17.1640625" style="150" bestFit="1" customWidth="1"/>
    <col min="4" max="5" width="7.33203125" style="150" bestFit="1" customWidth="1"/>
    <col min="6" max="6" width="8" style="150" bestFit="1" customWidth="1"/>
    <col min="7" max="7" width="7.6640625" style="150" bestFit="1" customWidth="1"/>
    <col min="8" max="8" width="8" style="150" bestFit="1" customWidth="1"/>
    <col min="9" max="9" width="7.33203125" style="150" bestFit="1" customWidth="1"/>
    <col min="10" max="10" width="7" style="150" bestFit="1" customWidth="1"/>
    <col min="11" max="11" width="8.33203125" style="150" bestFit="1" customWidth="1"/>
    <col min="12" max="12" width="7.5" style="150" bestFit="1" customWidth="1"/>
    <col min="13" max="13" width="7.6640625" style="150" bestFit="1" customWidth="1"/>
    <col min="14" max="14" width="8" style="150" customWidth="1"/>
    <col min="15" max="15" width="6.5" style="150" bestFit="1" customWidth="1"/>
    <col min="16" max="16384" width="11.5" style="150"/>
  </cols>
  <sheetData>
    <row r="1" spans="1:15" ht="56.5" customHeight="1" thickBot="1" x14ac:dyDescent="0.25">
      <c r="A1" s="259" t="s">
        <v>256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14.5" customHeight="1" x14ac:dyDescent="0.2">
      <c r="A2" s="260" t="s">
        <v>216</v>
      </c>
      <c r="B2" s="260" t="s">
        <v>217</v>
      </c>
      <c r="C2" s="262" t="s">
        <v>136</v>
      </c>
      <c r="D2" s="264" t="s">
        <v>218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6"/>
    </row>
    <row r="3" spans="1:15" ht="33" customHeight="1" thickBot="1" x14ac:dyDescent="0.25">
      <c r="A3" s="261"/>
      <c r="B3" s="261"/>
      <c r="C3" s="263"/>
      <c r="D3" s="191">
        <v>1</v>
      </c>
      <c r="E3" s="152">
        <v>2</v>
      </c>
      <c r="F3" s="152">
        <v>3</v>
      </c>
      <c r="G3" s="151">
        <v>4</v>
      </c>
      <c r="H3" s="152">
        <v>5</v>
      </c>
      <c r="I3" s="152">
        <v>6</v>
      </c>
      <c r="J3" s="151">
        <v>7</v>
      </c>
      <c r="K3" s="152">
        <v>8</v>
      </c>
      <c r="L3" s="152">
        <v>9</v>
      </c>
      <c r="M3" s="151">
        <v>10</v>
      </c>
      <c r="N3" s="152">
        <v>11</v>
      </c>
      <c r="O3" s="192">
        <v>12</v>
      </c>
    </row>
    <row r="4" spans="1:15" ht="45" customHeight="1" x14ac:dyDescent="0.2">
      <c r="A4" s="175" t="s">
        <v>234</v>
      </c>
      <c r="B4" s="176" t="s">
        <v>137</v>
      </c>
      <c r="C4" s="177">
        <v>80</v>
      </c>
      <c r="D4" s="155"/>
      <c r="E4" s="153"/>
      <c r="F4" s="156"/>
      <c r="G4" s="153"/>
      <c r="H4" s="156"/>
      <c r="I4" s="160"/>
      <c r="J4" s="161"/>
      <c r="K4" s="157"/>
      <c r="L4" s="156"/>
      <c r="M4" s="153"/>
      <c r="N4" s="153"/>
      <c r="O4" s="158"/>
    </row>
    <row r="5" spans="1:15" ht="44.5" customHeight="1" x14ac:dyDescent="0.2">
      <c r="A5" s="178" t="s">
        <v>232</v>
      </c>
      <c r="B5" s="47" t="s">
        <v>139</v>
      </c>
      <c r="C5" s="179">
        <v>80</v>
      </c>
      <c r="D5" s="159"/>
      <c r="E5" s="153"/>
      <c r="F5" s="154"/>
      <c r="G5" s="153"/>
      <c r="H5" s="154"/>
      <c r="I5" s="160"/>
      <c r="J5" s="161"/>
      <c r="K5" s="157"/>
      <c r="L5" s="154"/>
      <c r="M5" s="153"/>
      <c r="N5" s="153"/>
      <c r="O5" s="158"/>
    </row>
    <row r="6" spans="1:15" ht="26.5" customHeight="1" x14ac:dyDescent="0.2">
      <c r="A6" s="178" t="s">
        <v>235</v>
      </c>
      <c r="B6" s="47" t="s">
        <v>137</v>
      </c>
      <c r="C6" s="179">
        <v>80</v>
      </c>
      <c r="D6" s="159"/>
      <c r="E6" s="153"/>
      <c r="F6" s="154"/>
      <c r="G6" s="153"/>
      <c r="H6" s="154"/>
      <c r="I6" s="153"/>
      <c r="J6" s="157"/>
      <c r="K6" s="157"/>
      <c r="L6" s="163"/>
      <c r="M6" s="153"/>
      <c r="N6" s="153"/>
      <c r="O6" s="162"/>
    </row>
    <row r="7" spans="1:15" ht="30.5" customHeight="1" x14ac:dyDescent="0.2">
      <c r="A7" s="180" t="s">
        <v>223</v>
      </c>
      <c r="B7" s="173" t="s">
        <v>141</v>
      </c>
      <c r="C7" s="181">
        <v>80</v>
      </c>
      <c r="D7" s="159"/>
      <c r="E7" s="153"/>
      <c r="F7" s="154"/>
      <c r="G7" s="157"/>
      <c r="H7" s="160"/>
      <c r="I7" s="163"/>
      <c r="J7" s="157"/>
      <c r="K7" s="157"/>
      <c r="L7" s="154"/>
      <c r="M7" s="153"/>
      <c r="N7" s="153"/>
      <c r="O7" s="158"/>
    </row>
    <row r="8" spans="1:15" ht="60.5" customHeight="1" x14ac:dyDescent="0.2">
      <c r="A8" s="182" t="s">
        <v>233</v>
      </c>
      <c r="B8" s="170" t="s">
        <v>142</v>
      </c>
      <c r="C8" s="183">
        <v>80</v>
      </c>
      <c r="D8" s="155"/>
      <c r="E8" s="153"/>
      <c r="F8" s="156"/>
      <c r="G8" s="157"/>
      <c r="H8" s="160"/>
      <c r="I8" s="164"/>
      <c r="J8" s="156"/>
      <c r="K8" s="153"/>
      <c r="L8" s="156"/>
      <c r="M8" s="153"/>
      <c r="N8" s="153"/>
      <c r="O8" s="158"/>
    </row>
    <row r="9" spans="1:15" ht="33" customHeight="1" x14ac:dyDescent="0.2">
      <c r="A9" s="182" t="s">
        <v>226</v>
      </c>
      <c r="B9" s="174" t="s">
        <v>144</v>
      </c>
      <c r="C9" s="184">
        <v>12</v>
      </c>
      <c r="D9" s="165"/>
      <c r="E9" s="160"/>
      <c r="F9" s="164"/>
      <c r="G9" s="160"/>
      <c r="H9" s="164"/>
      <c r="I9" s="160"/>
      <c r="J9" s="164"/>
      <c r="K9" s="160"/>
      <c r="L9" s="164"/>
      <c r="M9" s="160"/>
      <c r="N9" s="160"/>
      <c r="O9" s="162"/>
    </row>
    <row r="10" spans="1:15" ht="33" customHeight="1" x14ac:dyDescent="0.2">
      <c r="A10" s="185" t="s">
        <v>225</v>
      </c>
      <c r="B10" s="169" t="s">
        <v>144</v>
      </c>
      <c r="C10" s="186">
        <v>12</v>
      </c>
      <c r="D10" s="165"/>
      <c r="E10" s="160"/>
      <c r="F10" s="164"/>
      <c r="G10" s="160"/>
      <c r="H10" s="164"/>
      <c r="I10" s="160"/>
      <c r="J10" s="164"/>
      <c r="K10" s="160"/>
      <c r="L10" s="164"/>
      <c r="M10" s="160"/>
      <c r="N10" s="160"/>
      <c r="O10" s="162"/>
    </row>
    <row r="11" spans="1:15" ht="32" x14ac:dyDescent="0.2">
      <c r="A11" s="187" t="s">
        <v>220</v>
      </c>
      <c r="B11" s="70" t="s">
        <v>145</v>
      </c>
      <c r="C11" s="188">
        <v>12</v>
      </c>
      <c r="D11" s="155"/>
      <c r="E11" s="153"/>
      <c r="F11" s="156"/>
      <c r="G11" s="153"/>
      <c r="H11" s="156"/>
      <c r="I11" s="153"/>
      <c r="J11" s="164"/>
      <c r="K11" s="160"/>
      <c r="L11" s="164"/>
      <c r="M11" s="153"/>
      <c r="N11" s="153"/>
      <c r="O11" s="158"/>
    </row>
    <row r="12" spans="1:15" ht="30" customHeight="1" thickBot="1" x14ac:dyDescent="0.25">
      <c r="A12" s="189" t="s">
        <v>224</v>
      </c>
      <c r="B12" s="219" t="s">
        <v>257</v>
      </c>
      <c r="C12" s="190">
        <v>80</v>
      </c>
      <c r="D12" s="193"/>
      <c r="E12" s="194"/>
      <c r="F12" s="196"/>
      <c r="G12" s="197"/>
      <c r="H12" s="194"/>
      <c r="I12" s="194"/>
      <c r="J12" s="195"/>
      <c r="K12" s="194"/>
      <c r="L12" s="195"/>
      <c r="M12" s="194"/>
      <c r="N12" s="194"/>
      <c r="O12" s="198"/>
    </row>
    <row r="13" spans="1:15" x14ac:dyDescent="0.2">
      <c r="C13" s="166"/>
    </row>
    <row r="14" spans="1:15" ht="40" x14ac:dyDescent="0.45">
      <c r="A14" s="172" t="s">
        <v>219</v>
      </c>
    </row>
  </sheetData>
  <mergeCells count="5">
    <mergeCell ref="A1:O1"/>
    <mergeCell ref="A2:A3"/>
    <mergeCell ref="B2:B3"/>
    <mergeCell ref="C2:C3"/>
    <mergeCell ref="D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001"/>
  <sheetViews>
    <sheetView tabSelected="1"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A16" sqref="DA16"/>
    </sheetView>
  </sheetViews>
  <sheetFormatPr baseColWidth="10" defaultColWidth="12.6640625" defaultRowHeight="15" customHeight="1" x14ac:dyDescent="0.2"/>
  <cols>
    <col min="1" max="1" width="61.6640625" customWidth="1"/>
    <col min="2" max="2" width="15.1640625" customWidth="1"/>
    <col min="3" max="4" width="10.6640625" customWidth="1"/>
    <col min="5" max="5" width="12.83203125" customWidth="1"/>
    <col min="6" max="7" width="15.6640625" customWidth="1"/>
    <col min="8" max="8" width="35" customWidth="1"/>
    <col min="9" max="9" width="1.83203125" customWidth="1"/>
    <col min="10" max="12" width="12" customWidth="1"/>
    <col min="13" max="13" width="14.1640625" customWidth="1"/>
    <col min="14" max="14" width="1.83203125" customWidth="1"/>
    <col min="15" max="17" width="12" customWidth="1"/>
    <col min="18" max="18" width="14.1640625" customWidth="1"/>
    <col min="19" max="19" width="1.83203125" customWidth="1"/>
    <col min="20" max="22" width="12" customWidth="1"/>
    <col min="23" max="23" width="14.1640625" customWidth="1"/>
    <col min="24" max="24" width="1.83203125" customWidth="1"/>
    <col min="25" max="27" width="12" customWidth="1"/>
    <col min="28" max="28" width="14.1640625" customWidth="1"/>
    <col min="29" max="29" width="1.83203125" customWidth="1"/>
    <col min="30" max="32" width="12" customWidth="1"/>
    <col min="33" max="33" width="14.1640625" customWidth="1"/>
    <col min="34" max="34" width="1.83203125" customWidth="1"/>
    <col min="35" max="35" width="12" customWidth="1"/>
    <col min="36" max="36" width="9.1640625" customWidth="1"/>
    <col min="37" max="37" width="12" customWidth="1"/>
    <col min="38" max="38" width="14.1640625" customWidth="1"/>
    <col min="39" max="39" width="1.33203125" customWidth="1"/>
    <col min="40" max="42" width="12" customWidth="1"/>
    <col min="43" max="43" width="14.1640625" customWidth="1"/>
    <col min="44" max="44" width="1.83203125" customWidth="1"/>
    <col min="45" max="47" width="12" customWidth="1"/>
    <col min="48" max="48" width="14.1640625" customWidth="1"/>
    <col min="49" max="49" width="1.83203125" customWidth="1"/>
    <col min="50" max="52" width="12" customWidth="1"/>
    <col min="53" max="53" width="14.1640625" customWidth="1"/>
    <col min="54" max="54" width="1.83203125" customWidth="1"/>
    <col min="55" max="57" width="12" customWidth="1"/>
    <col min="58" max="58" width="14.1640625" customWidth="1"/>
    <col min="59" max="59" width="1.6640625" customWidth="1"/>
    <col min="60" max="62" width="12" customWidth="1"/>
    <col min="63" max="63" width="14.1640625" customWidth="1"/>
    <col min="64" max="64" width="2.5" customWidth="1"/>
    <col min="65" max="65" width="13" customWidth="1"/>
    <col min="66" max="66" width="10.6640625" customWidth="1"/>
    <col min="68" max="68" width="13.6640625" bestFit="1" customWidth="1"/>
    <col min="69" max="69" width="3" customWidth="1"/>
    <col min="70" max="73" width="13.6640625" customWidth="1"/>
    <col min="74" max="74" width="3" customWidth="1"/>
    <col min="79" max="79" width="3.6640625" customWidth="1"/>
    <col min="83" max="83" width="15.1640625" customWidth="1"/>
    <col min="84" max="84" width="3.33203125" customWidth="1"/>
    <col min="89" max="89" width="3.83203125" customWidth="1"/>
    <col min="95" max="95" width="24.33203125" customWidth="1"/>
  </cols>
  <sheetData>
    <row r="1" spans="1:95" x14ac:dyDescent="0.2">
      <c r="A1" s="136" t="s">
        <v>203</v>
      </c>
      <c r="B1" s="140">
        <v>7</v>
      </c>
      <c r="C1" s="1"/>
    </row>
    <row r="2" spans="1:95" x14ac:dyDescent="0.2">
      <c r="A2" s="1" t="s">
        <v>189</v>
      </c>
      <c r="B2" s="140">
        <v>80</v>
      </c>
    </row>
    <row r="3" spans="1:95" ht="16" thickBot="1" x14ac:dyDescent="0.25">
      <c r="A3" s="1" t="s">
        <v>190</v>
      </c>
      <c r="B3" s="141">
        <v>96000</v>
      </c>
      <c r="BU3" s="126"/>
    </row>
    <row r="4" spans="1:95" ht="16" thickBot="1" x14ac:dyDescent="0.25">
      <c r="A4" s="1" t="s">
        <v>0</v>
      </c>
      <c r="B4" s="141">
        <f ca="1">IFERROR(__xludf.DUMMYFUNCTION("+B3/B2"),1200)</f>
        <v>1200</v>
      </c>
      <c r="CG4" s="267" t="s">
        <v>275</v>
      </c>
      <c r="CH4" s="268"/>
      <c r="CI4" s="268"/>
      <c r="CJ4" s="268"/>
      <c r="CK4" s="268"/>
      <c r="CL4" s="268"/>
      <c r="CM4" s="268"/>
      <c r="CN4" s="268"/>
      <c r="CO4" s="269"/>
    </row>
    <row r="5" spans="1:95" ht="16" thickBot="1" x14ac:dyDescent="0.25">
      <c r="B5" s="2"/>
      <c r="J5" s="275" t="s">
        <v>1</v>
      </c>
      <c r="K5" s="273"/>
      <c r="L5" s="273"/>
      <c r="M5" s="274"/>
      <c r="O5" s="275" t="s">
        <v>2</v>
      </c>
      <c r="P5" s="273"/>
      <c r="Q5" s="273"/>
      <c r="R5" s="274"/>
      <c r="T5" s="275" t="s">
        <v>3</v>
      </c>
      <c r="U5" s="273"/>
      <c r="V5" s="273"/>
      <c r="W5" s="274"/>
      <c r="Y5" s="275" t="s">
        <v>4</v>
      </c>
      <c r="Z5" s="273"/>
      <c r="AA5" s="273"/>
      <c r="AB5" s="274"/>
      <c r="AD5" s="275" t="s">
        <v>5</v>
      </c>
      <c r="AE5" s="273"/>
      <c r="AF5" s="273"/>
      <c r="AG5" s="274"/>
      <c r="AI5" s="275" t="s">
        <v>6</v>
      </c>
      <c r="AJ5" s="273"/>
      <c r="AK5" s="273"/>
      <c r="AL5" s="274"/>
      <c r="AN5" s="275" t="s">
        <v>7</v>
      </c>
      <c r="AO5" s="273"/>
      <c r="AP5" s="273"/>
      <c r="AQ5" s="274"/>
      <c r="AS5" s="275" t="s">
        <v>8</v>
      </c>
      <c r="AT5" s="273"/>
      <c r="AU5" s="273"/>
      <c r="AV5" s="274"/>
      <c r="AX5" s="275" t="s">
        <v>9</v>
      </c>
      <c r="AY5" s="273"/>
      <c r="AZ5" s="273"/>
      <c r="BA5" s="274"/>
      <c r="BC5" s="275" t="s">
        <v>10</v>
      </c>
      <c r="BD5" s="273"/>
      <c r="BE5" s="273"/>
      <c r="BF5" s="274"/>
      <c r="BH5" s="275" t="s">
        <v>11</v>
      </c>
      <c r="BI5" s="273"/>
      <c r="BJ5" s="273"/>
      <c r="BK5" s="274"/>
      <c r="BM5" s="279" t="s">
        <v>274</v>
      </c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1"/>
      <c r="CG5" s="276" t="s">
        <v>195</v>
      </c>
      <c r="CH5" s="277"/>
      <c r="CI5" s="277"/>
      <c r="CJ5" s="278"/>
      <c r="CK5" s="231"/>
      <c r="CL5" s="276" t="s">
        <v>202</v>
      </c>
      <c r="CM5" s="277"/>
      <c r="CN5" s="277"/>
      <c r="CO5" s="278"/>
      <c r="CQ5" s="270" t="s">
        <v>204</v>
      </c>
    </row>
    <row r="6" spans="1:95" ht="28" x14ac:dyDescent="0.2">
      <c r="A6" s="3" t="s">
        <v>12</v>
      </c>
      <c r="B6" s="3" t="s">
        <v>13</v>
      </c>
      <c r="C6" s="4" t="s">
        <v>14</v>
      </c>
      <c r="D6" s="4" t="s">
        <v>15</v>
      </c>
      <c r="E6" s="5" t="s">
        <v>253</v>
      </c>
      <c r="F6" s="6" t="s">
        <v>17</v>
      </c>
      <c r="G6" s="6" t="s">
        <v>18</v>
      </c>
      <c r="H6" s="7" t="s">
        <v>19</v>
      </c>
      <c r="J6" s="4" t="s">
        <v>14</v>
      </c>
      <c r="K6" s="8" t="s">
        <v>20</v>
      </c>
      <c r="L6" s="5" t="s">
        <v>16</v>
      </c>
      <c r="M6" s="6" t="s">
        <v>18</v>
      </c>
      <c r="O6" s="4" t="s">
        <v>14</v>
      </c>
      <c r="P6" s="8" t="s">
        <v>20</v>
      </c>
      <c r="Q6" s="5" t="s">
        <v>16</v>
      </c>
      <c r="R6" s="6" t="s">
        <v>18</v>
      </c>
      <c r="T6" s="4" t="s">
        <v>14</v>
      </c>
      <c r="U6" s="8" t="s">
        <v>20</v>
      </c>
      <c r="V6" s="5" t="s">
        <v>16</v>
      </c>
      <c r="W6" s="6" t="s">
        <v>18</v>
      </c>
      <c r="Y6" s="4" t="s">
        <v>14</v>
      </c>
      <c r="Z6" s="8" t="s">
        <v>20</v>
      </c>
      <c r="AA6" s="5" t="s">
        <v>16</v>
      </c>
      <c r="AB6" s="6" t="s">
        <v>18</v>
      </c>
      <c r="AD6" s="4" t="s">
        <v>14</v>
      </c>
      <c r="AE6" s="8" t="s">
        <v>20</v>
      </c>
      <c r="AF6" s="5" t="s">
        <v>16</v>
      </c>
      <c r="AG6" s="6" t="s">
        <v>18</v>
      </c>
      <c r="AI6" s="4" t="s">
        <v>14</v>
      </c>
      <c r="AJ6" s="8" t="s">
        <v>20</v>
      </c>
      <c r="AK6" s="5" t="s">
        <v>16</v>
      </c>
      <c r="AL6" s="6" t="s">
        <v>18</v>
      </c>
      <c r="AM6" s="9"/>
      <c r="AN6" s="4" t="s">
        <v>14</v>
      </c>
      <c r="AO6" s="8" t="s">
        <v>20</v>
      </c>
      <c r="AP6" s="5" t="s">
        <v>16</v>
      </c>
      <c r="AQ6" s="6" t="s">
        <v>18</v>
      </c>
      <c r="AS6" s="4" t="s">
        <v>14</v>
      </c>
      <c r="AT6" s="8" t="s">
        <v>20</v>
      </c>
      <c r="AU6" s="5" t="s">
        <v>16</v>
      </c>
      <c r="AV6" s="6" t="s">
        <v>18</v>
      </c>
      <c r="AX6" s="4" t="s">
        <v>14</v>
      </c>
      <c r="AY6" s="8" t="s">
        <v>20</v>
      </c>
      <c r="AZ6" s="5" t="s">
        <v>16</v>
      </c>
      <c r="BA6" s="6" t="s">
        <v>18</v>
      </c>
      <c r="BC6" s="4" t="s">
        <v>14</v>
      </c>
      <c r="BD6" s="8" t="s">
        <v>20</v>
      </c>
      <c r="BE6" s="5" t="s">
        <v>16</v>
      </c>
      <c r="BF6" s="6" t="s">
        <v>18</v>
      </c>
      <c r="BH6" s="4" t="s">
        <v>14</v>
      </c>
      <c r="BI6" s="8" t="s">
        <v>20</v>
      </c>
      <c r="BJ6" s="5" t="s">
        <v>16</v>
      </c>
      <c r="BK6" s="6" t="s">
        <v>18</v>
      </c>
      <c r="BM6" s="227" t="s">
        <v>14</v>
      </c>
      <c r="BN6" s="228" t="s">
        <v>20</v>
      </c>
      <c r="BO6" s="229" t="s">
        <v>16</v>
      </c>
      <c r="BP6" s="230" t="s">
        <v>18</v>
      </c>
      <c r="BQ6" s="231"/>
      <c r="BR6" s="227" t="s">
        <v>14</v>
      </c>
      <c r="BS6" s="228" t="s">
        <v>20</v>
      </c>
      <c r="BT6" s="229" t="s">
        <v>16</v>
      </c>
      <c r="BU6" s="230" t="s">
        <v>18</v>
      </c>
      <c r="BV6" s="231"/>
      <c r="BW6" s="227" t="s">
        <v>14</v>
      </c>
      <c r="BX6" s="228" t="s">
        <v>20</v>
      </c>
      <c r="BY6" s="229" t="s">
        <v>16</v>
      </c>
      <c r="BZ6" s="230" t="s">
        <v>18</v>
      </c>
      <c r="CA6" s="231"/>
      <c r="CB6" s="227" t="s">
        <v>14</v>
      </c>
      <c r="CC6" s="228" t="s">
        <v>20</v>
      </c>
      <c r="CD6" s="229" t="s">
        <v>16</v>
      </c>
      <c r="CE6" s="230" t="s">
        <v>18</v>
      </c>
      <c r="CG6" s="4" t="s">
        <v>14</v>
      </c>
      <c r="CH6" s="8" t="s">
        <v>20</v>
      </c>
      <c r="CI6" s="5" t="s">
        <v>16</v>
      </c>
      <c r="CJ6" s="6" t="s">
        <v>18</v>
      </c>
      <c r="CL6" s="4" t="s">
        <v>14</v>
      </c>
      <c r="CM6" s="8" t="s">
        <v>20</v>
      </c>
      <c r="CN6" s="5" t="s">
        <v>16</v>
      </c>
      <c r="CO6" s="6" t="s">
        <v>18</v>
      </c>
      <c r="CQ6" s="271"/>
    </row>
    <row r="7" spans="1:95" x14ac:dyDescent="0.2">
      <c r="A7" s="272" t="s">
        <v>21</v>
      </c>
      <c r="B7" s="273"/>
      <c r="C7" s="273"/>
      <c r="D7" s="273"/>
      <c r="E7" s="273"/>
      <c r="F7" s="273"/>
      <c r="G7" s="273"/>
      <c r="H7" s="274"/>
      <c r="J7" s="10"/>
      <c r="K7" s="11"/>
      <c r="L7" s="11"/>
      <c r="M7" s="12"/>
      <c r="O7" s="10"/>
      <c r="P7" s="11"/>
      <c r="Q7" s="11"/>
      <c r="R7" s="12"/>
      <c r="T7" s="10"/>
      <c r="U7" s="11"/>
      <c r="V7" s="11"/>
      <c r="W7" s="12"/>
      <c r="Y7" s="10"/>
      <c r="Z7" s="11"/>
      <c r="AA7" s="11"/>
      <c r="AB7" s="12"/>
      <c r="AD7" s="10"/>
      <c r="AE7" s="11"/>
      <c r="AF7" s="11"/>
      <c r="AG7" s="12"/>
      <c r="AI7" s="10"/>
      <c r="AJ7" s="11"/>
      <c r="AK7" s="11"/>
      <c r="AL7" s="12"/>
      <c r="AM7" s="13"/>
      <c r="AN7" s="10"/>
      <c r="AO7" s="11"/>
      <c r="AP7" s="11"/>
      <c r="AQ7" s="12"/>
      <c r="AS7" s="10"/>
      <c r="AT7" s="11"/>
      <c r="AU7" s="11"/>
      <c r="AV7" s="12"/>
      <c r="AX7" s="10"/>
      <c r="AY7" s="11"/>
      <c r="AZ7" s="11"/>
      <c r="BA7" s="12"/>
      <c r="BC7" s="10"/>
      <c r="BD7" s="11"/>
      <c r="BE7" s="11"/>
      <c r="BF7" s="12"/>
      <c r="BH7" s="10"/>
      <c r="BI7" s="11"/>
      <c r="BJ7" s="11"/>
      <c r="BK7" s="12"/>
      <c r="BM7" s="117"/>
      <c r="BN7" s="118"/>
      <c r="BO7" s="118"/>
      <c r="BP7" s="119"/>
      <c r="BR7" s="117"/>
      <c r="BS7" s="118"/>
      <c r="BT7" s="118"/>
      <c r="BU7" s="119"/>
      <c r="BW7" s="117"/>
      <c r="BX7" s="118"/>
      <c r="BY7" s="118"/>
      <c r="BZ7" s="119"/>
      <c r="CB7" s="117"/>
      <c r="CC7" s="118"/>
      <c r="CD7" s="118"/>
      <c r="CE7" s="119"/>
      <c r="CG7" s="117"/>
      <c r="CH7" s="118"/>
      <c r="CI7" s="118"/>
      <c r="CJ7" s="119"/>
      <c r="CL7" s="117"/>
      <c r="CM7" s="118"/>
      <c r="CN7" s="118"/>
      <c r="CO7" s="119"/>
      <c r="CQ7" s="137"/>
    </row>
    <row r="8" spans="1:95" x14ac:dyDescent="0.2">
      <c r="A8" s="14" t="s">
        <v>22</v>
      </c>
      <c r="B8" s="15" t="s">
        <v>23</v>
      </c>
      <c r="C8" s="16">
        <v>1000</v>
      </c>
      <c r="D8" s="16">
        <f ca="1">IFERROR(__xludf.DUMMYFUNCTION("+C8*$B$2"),80000)</f>
        <v>80000</v>
      </c>
      <c r="E8" s="17">
        <v>2000</v>
      </c>
      <c r="F8" s="18">
        <f t="shared" ref="F8:F10" si="0">E8*C8</f>
        <v>2000000</v>
      </c>
      <c r="G8" s="18">
        <f ca="1">IFERROR(__xludf.DUMMYFUNCTION("+E8*D8"),160000000)</f>
        <v>160000000</v>
      </c>
      <c r="H8" s="19"/>
      <c r="J8" s="20"/>
      <c r="K8" s="20"/>
      <c r="L8" s="20">
        <f ca="1">IFERROR(__xludf.DUMMYFUNCTION("+J8+K8"),0)</f>
        <v>0</v>
      </c>
      <c r="M8" s="20">
        <f ca="1">IFERROR(__xludf.DUMMYFUNCTION("+L8*$D8"),0)</f>
        <v>0</v>
      </c>
      <c r="O8" s="20"/>
      <c r="P8" s="20"/>
      <c r="Q8" s="20">
        <f ca="1">IFERROR(__xludf.DUMMYFUNCTION("+O8+P8"),0)</f>
        <v>0</v>
      </c>
      <c r="R8" s="20">
        <f ca="1">IFERROR(__xludf.DUMMYFUNCTION("+Q8*$D8"),0)</f>
        <v>0</v>
      </c>
      <c r="T8" s="20"/>
      <c r="U8" s="20"/>
      <c r="V8" s="20">
        <f ca="1">IFERROR(__xludf.DUMMYFUNCTION("+T8+U8"),0)</f>
        <v>0</v>
      </c>
      <c r="W8" s="20">
        <f ca="1">IFERROR(__xludf.DUMMYFUNCTION("+V8*$D8"),0)</f>
        <v>0</v>
      </c>
      <c r="Y8" s="20"/>
      <c r="Z8" s="20"/>
      <c r="AA8" s="20">
        <f ca="1">IFERROR(__xludf.DUMMYFUNCTION("+Y8+Z8"),0)</f>
        <v>0</v>
      </c>
      <c r="AB8" s="20">
        <f ca="1">IFERROR(__xludf.DUMMYFUNCTION("+AA8*$D8"),0)</f>
        <v>0</v>
      </c>
      <c r="AD8" s="20"/>
      <c r="AE8" s="20"/>
      <c r="AF8" s="20">
        <f ca="1">IFERROR(__xludf.DUMMYFUNCTION("+AD8+AE8"),0)</f>
        <v>0</v>
      </c>
      <c r="AG8" s="20">
        <f ca="1">IFERROR(__xludf.DUMMYFUNCTION("+AF8*$D8"),0)</f>
        <v>0</v>
      </c>
      <c r="AI8" s="20"/>
      <c r="AJ8" s="20"/>
      <c r="AK8" s="20">
        <f ca="1">IFERROR(__xludf.DUMMYFUNCTION("+AI8+AJ8"),0)</f>
        <v>0</v>
      </c>
      <c r="AL8" s="20">
        <f ca="1">IFERROR(__xludf.DUMMYFUNCTION("+AK8*$D8"),0)</f>
        <v>0</v>
      </c>
      <c r="AM8" s="21"/>
      <c r="AN8" s="20"/>
      <c r="AO8" s="20"/>
      <c r="AP8" s="20">
        <f ca="1">IFERROR(__xludf.DUMMYFUNCTION("+AN8+AO8"),0)</f>
        <v>0</v>
      </c>
      <c r="AQ8" s="20">
        <f ca="1">IFERROR(__xludf.DUMMYFUNCTION("+AP8*$D8"),0)</f>
        <v>0</v>
      </c>
      <c r="AS8" s="20"/>
      <c r="AT8" s="20"/>
      <c r="AU8" s="20">
        <f ca="1">IFERROR(__xludf.DUMMYFUNCTION("+AS8+AT8"),0)</f>
        <v>0</v>
      </c>
      <c r="AV8" s="20">
        <f ca="1">IFERROR(__xludf.DUMMYFUNCTION("+AU8*$D8"),0)</f>
        <v>0</v>
      </c>
      <c r="AX8" s="20"/>
      <c r="AY8" s="20"/>
      <c r="AZ8" s="20">
        <f ca="1">IFERROR(__xludf.DUMMYFUNCTION("+AX8+AY8"),0)</f>
        <v>0</v>
      </c>
      <c r="BA8" s="20">
        <f ca="1">IFERROR(__xludf.DUMMYFUNCTION("+AZ8*$D8"),0)</f>
        <v>0</v>
      </c>
      <c r="BC8" s="20"/>
      <c r="BD8" s="20"/>
      <c r="BE8" s="20">
        <f ca="1">IFERROR(__xludf.DUMMYFUNCTION("+BC8+BD8"),0)</f>
        <v>0</v>
      </c>
      <c r="BF8" s="20">
        <f ca="1">IFERROR(__xludf.DUMMYFUNCTION("+BE8*$D8"),0)</f>
        <v>0</v>
      </c>
      <c r="BH8" s="20">
        <f t="shared" ref="BH8:BH9" si="1">950+250</f>
        <v>1200</v>
      </c>
      <c r="BI8" s="20">
        <v>0</v>
      </c>
      <c r="BJ8" s="20">
        <f ca="1">IFERROR(__xludf.DUMMYFUNCTION("+BH8+BI8"),1200)</f>
        <v>1200</v>
      </c>
      <c r="BK8" s="20">
        <f ca="1">IFERROR(__xludf.DUMMYFUNCTION("+BJ8*$D8"),96000000)</f>
        <v>96000000</v>
      </c>
      <c r="BM8" s="123">
        <v>2000</v>
      </c>
      <c r="BN8" s="124">
        <v>0</v>
      </c>
      <c r="BO8" s="124">
        <f>BM8</f>
        <v>2000</v>
      </c>
      <c r="BP8" s="124">
        <f ca="1">BO8*D8</f>
        <v>160000000</v>
      </c>
      <c r="BR8" s="123"/>
      <c r="BS8" s="124">
        <v>0</v>
      </c>
      <c r="BT8" s="124">
        <f>BR8</f>
        <v>0</v>
      </c>
      <c r="BU8" s="124">
        <f ca="1">BT8*D8</f>
        <v>0</v>
      </c>
      <c r="BW8" s="123">
        <v>2200</v>
      </c>
      <c r="BX8" s="124">
        <v>0</v>
      </c>
      <c r="BY8" s="124">
        <f>BW8</f>
        <v>2200</v>
      </c>
      <c r="BZ8" s="124">
        <f>BY8*I8</f>
        <v>0</v>
      </c>
      <c r="CB8" s="123">
        <v>1495</v>
      </c>
      <c r="CC8" s="124">
        <v>0</v>
      </c>
      <c r="CD8" s="124">
        <f>CB8</f>
        <v>1495</v>
      </c>
      <c r="CE8" s="124">
        <f ca="1">CD8*D8</f>
        <v>119600000</v>
      </c>
      <c r="CG8" s="123"/>
      <c r="CH8" s="124"/>
      <c r="CI8" s="124"/>
      <c r="CJ8" s="124"/>
      <c r="CL8" s="123"/>
      <c r="CM8" s="124"/>
      <c r="CN8" s="124"/>
      <c r="CO8" s="124"/>
      <c r="CQ8" s="138">
        <f ca="1">AVERAGE(BJ8,BO8,BY8,CD8)</f>
        <v>1723.75</v>
      </c>
    </row>
    <row r="9" spans="1:95" x14ac:dyDescent="0.2">
      <c r="A9" s="14" t="s">
        <v>210</v>
      </c>
      <c r="B9" s="15" t="s">
        <v>23</v>
      </c>
      <c r="C9" s="22">
        <v>100</v>
      </c>
      <c r="D9" s="16">
        <f ca="1">IFERROR(__xludf.DUMMYFUNCTION("+C9*$B$2"),8000)</f>
        <v>8000</v>
      </c>
      <c r="E9" s="23">
        <v>2000</v>
      </c>
      <c r="F9" s="24">
        <f t="shared" si="0"/>
        <v>200000</v>
      </c>
      <c r="G9" s="18">
        <f ca="1">IFERROR(__xludf.DUMMYFUNCTION("+E9*D9"),16000000)</f>
        <v>16000000</v>
      </c>
      <c r="H9" s="19" t="s">
        <v>24</v>
      </c>
      <c r="J9" s="20"/>
      <c r="K9" s="20"/>
      <c r="L9" s="20">
        <f ca="1">IFERROR(__xludf.DUMMYFUNCTION("+J9+K9"),0)</f>
        <v>0</v>
      </c>
      <c r="M9" s="20">
        <f ca="1">IFERROR(__xludf.DUMMYFUNCTION("+L9*$D9"),0)</f>
        <v>0</v>
      </c>
      <c r="O9" s="20"/>
      <c r="P9" s="20"/>
      <c r="Q9" s="20">
        <f ca="1">IFERROR(__xludf.DUMMYFUNCTION("+O9+P9"),0)</f>
        <v>0</v>
      </c>
      <c r="R9" s="20">
        <f ca="1">IFERROR(__xludf.DUMMYFUNCTION("+Q9*$D9"),0)</f>
        <v>0</v>
      </c>
      <c r="T9" s="20"/>
      <c r="U9" s="20"/>
      <c r="V9" s="20">
        <f ca="1">IFERROR(__xludf.DUMMYFUNCTION("+T9+U9"),0)</f>
        <v>0</v>
      </c>
      <c r="W9" s="20">
        <f ca="1">IFERROR(__xludf.DUMMYFUNCTION("+V9*$D9"),0)</f>
        <v>0</v>
      </c>
      <c r="Y9" s="20"/>
      <c r="Z9" s="20"/>
      <c r="AA9" s="20">
        <f ca="1">IFERROR(__xludf.DUMMYFUNCTION("+Y9+Z9"),0)</f>
        <v>0</v>
      </c>
      <c r="AB9" s="20">
        <f ca="1">IFERROR(__xludf.DUMMYFUNCTION("+AA9*$D9"),0)</f>
        <v>0</v>
      </c>
      <c r="AD9" s="20"/>
      <c r="AE9" s="20"/>
      <c r="AF9" s="20">
        <f ca="1">IFERROR(__xludf.DUMMYFUNCTION("+AD9+AE9"),0)</f>
        <v>0</v>
      </c>
      <c r="AG9" s="20">
        <f ca="1">IFERROR(__xludf.DUMMYFUNCTION("+AF9*$D9"),0)</f>
        <v>0</v>
      </c>
      <c r="AI9" s="20"/>
      <c r="AJ9" s="20"/>
      <c r="AK9" s="20">
        <f ca="1">IFERROR(__xludf.DUMMYFUNCTION("+AI9+AJ9"),0)</f>
        <v>0</v>
      </c>
      <c r="AL9" s="20">
        <f ca="1">IFERROR(__xludf.DUMMYFUNCTION("+AK9*$D9"),0)</f>
        <v>0</v>
      </c>
      <c r="AM9" s="21"/>
      <c r="AN9" s="20"/>
      <c r="AO9" s="20"/>
      <c r="AP9" s="20">
        <f ca="1">IFERROR(__xludf.DUMMYFUNCTION("+AN9+AO9"),0)</f>
        <v>0</v>
      </c>
      <c r="AQ9" s="20">
        <f ca="1">IFERROR(__xludf.DUMMYFUNCTION("+AP9*$D9"),0)</f>
        <v>0</v>
      </c>
      <c r="AS9" s="20"/>
      <c r="AT9" s="20"/>
      <c r="AU9" s="20">
        <f ca="1">IFERROR(__xludf.DUMMYFUNCTION("+AS9+AT9"),0)</f>
        <v>0</v>
      </c>
      <c r="AV9" s="20">
        <f ca="1">IFERROR(__xludf.DUMMYFUNCTION("+AU9*$D9"),0)</f>
        <v>0</v>
      </c>
      <c r="AX9" s="20"/>
      <c r="AY9" s="20"/>
      <c r="AZ9" s="20">
        <f ca="1">IFERROR(__xludf.DUMMYFUNCTION("+AX9+AY9"),0)</f>
        <v>0</v>
      </c>
      <c r="BA9" s="20">
        <f ca="1">IFERROR(__xludf.DUMMYFUNCTION("+AZ9*$D9"),0)</f>
        <v>0</v>
      </c>
      <c r="BC9" s="20"/>
      <c r="BD9" s="20"/>
      <c r="BE9" s="20">
        <f ca="1">IFERROR(__xludf.DUMMYFUNCTION("+BC9+BD9"),0)</f>
        <v>0</v>
      </c>
      <c r="BF9" s="20">
        <f ca="1">IFERROR(__xludf.DUMMYFUNCTION("+BE9*$D9"),0)</f>
        <v>0</v>
      </c>
      <c r="BH9" s="20">
        <f t="shared" si="1"/>
        <v>1200</v>
      </c>
      <c r="BI9" s="20">
        <v>0</v>
      </c>
      <c r="BJ9" s="20">
        <f ca="1">IFERROR(__xludf.DUMMYFUNCTION("+BH9+BI9"),1200)</f>
        <v>1200</v>
      </c>
      <c r="BK9" s="20">
        <f ca="1">IFERROR(__xludf.DUMMYFUNCTION("+BJ9*$D9"),9600000)</f>
        <v>9600000</v>
      </c>
      <c r="BM9" s="123">
        <v>2000</v>
      </c>
      <c r="BN9" s="124">
        <v>0</v>
      </c>
      <c r="BO9" s="124">
        <f t="shared" ref="BO9:BO10" si="2">BM9</f>
        <v>2000</v>
      </c>
      <c r="BP9" s="124">
        <f ca="1">BO9*D9</f>
        <v>16000000</v>
      </c>
      <c r="BR9" s="123"/>
      <c r="BS9" s="124">
        <v>0</v>
      </c>
      <c r="BT9" s="124">
        <f t="shared" ref="BT9:BT10" si="3">BR9</f>
        <v>0</v>
      </c>
      <c r="BU9" s="124">
        <f ca="1">BT9*D9</f>
        <v>0</v>
      </c>
      <c r="BW9" s="123">
        <v>2200</v>
      </c>
      <c r="BX9" s="124">
        <v>0</v>
      </c>
      <c r="BY9" s="124">
        <f t="shared" ref="BY9:BY10" si="4">BW9</f>
        <v>2200</v>
      </c>
      <c r="BZ9" s="124">
        <f>BY9*I9</f>
        <v>0</v>
      </c>
      <c r="CB9" s="123">
        <v>1495</v>
      </c>
      <c r="CC9" s="124">
        <v>0</v>
      </c>
      <c r="CD9" s="124">
        <f t="shared" ref="CD9:CD10" si="5">CB9</f>
        <v>1495</v>
      </c>
      <c r="CE9" s="124">
        <f ca="1">CD9*D9</f>
        <v>11960000</v>
      </c>
      <c r="CG9" s="123"/>
      <c r="CH9" s="124"/>
      <c r="CI9" s="124"/>
      <c r="CJ9" s="124"/>
      <c r="CL9" s="123"/>
      <c r="CM9" s="124"/>
      <c r="CN9" s="124"/>
      <c r="CO9" s="124"/>
      <c r="CQ9" s="138">
        <f t="shared" ref="CQ9:CQ10" ca="1" si="6">AVERAGE(BJ9,BO9,BY9,CD9)</f>
        <v>1723.75</v>
      </c>
    </row>
    <row r="10" spans="1:95" x14ac:dyDescent="0.2">
      <c r="A10" s="14" t="s">
        <v>210</v>
      </c>
      <c r="B10" s="15" t="s">
        <v>23</v>
      </c>
      <c r="C10" s="22">
        <v>100</v>
      </c>
      <c r="D10" s="16">
        <f ca="1">IFERROR(__xludf.DUMMYFUNCTION("+C10*$B$2"),8000)</f>
        <v>8000</v>
      </c>
      <c r="E10" s="23">
        <v>2000</v>
      </c>
      <c r="F10" s="24">
        <f t="shared" si="0"/>
        <v>200000</v>
      </c>
      <c r="G10" s="18">
        <f ca="1">IFERROR(__xludf.DUMMYFUNCTION("+E10*D10"),16000000)</f>
        <v>16000000</v>
      </c>
      <c r="H10" s="19" t="s">
        <v>25</v>
      </c>
      <c r="J10" s="20"/>
      <c r="K10" s="20"/>
      <c r="L10" s="20">
        <f ca="1">IFERROR(__xludf.DUMMYFUNCTION("+J10+K10"),0)</f>
        <v>0</v>
      </c>
      <c r="M10" s="20">
        <f ca="1">IFERROR(__xludf.DUMMYFUNCTION("+L10*$D10"),0)</f>
        <v>0</v>
      </c>
      <c r="O10" s="20"/>
      <c r="P10" s="20"/>
      <c r="Q10" s="20">
        <f ca="1">IFERROR(__xludf.DUMMYFUNCTION("+O10+P10"),0)</f>
        <v>0</v>
      </c>
      <c r="R10" s="20">
        <f ca="1">IFERROR(__xludf.DUMMYFUNCTION("+Q10*$D10"),0)</f>
        <v>0</v>
      </c>
      <c r="T10" s="20"/>
      <c r="U10" s="20"/>
      <c r="V10" s="20">
        <f ca="1">IFERROR(__xludf.DUMMYFUNCTION("+T10+U10"),0)</f>
        <v>0</v>
      </c>
      <c r="W10" s="20">
        <f ca="1">IFERROR(__xludf.DUMMYFUNCTION("+V10*$D10"),0)</f>
        <v>0</v>
      </c>
      <c r="Y10" s="20"/>
      <c r="Z10" s="20"/>
      <c r="AA10" s="20">
        <f ca="1">IFERROR(__xludf.DUMMYFUNCTION("+Y10+Z10"),0)</f>
        <v>0</v>
      </c>
      <c r="AB10" s="20">
        <f ca="1">IFERROR(__xludf.DUMMYFUNCTION("+AA10*$D10"),0)</f>
        <v>0</v>
      </c>
      <c r="AD10" s="20"/>
      <c r="AE10" s="20"/>
      <c r="AF10" s="20">
        <f ca="1">IFERROR(__xludf.DUMMYFUNCTION("+AD10+AE10"),0)</f>
        <v>0</v>
      </c>
      <c r="AG10" s="20">
        <f ca="1">IFERROR(__xludf.DUMMYFUNCTION("+AF10*$D10"),0)</f>
        <v>0</v>
      </c>
      <c r="AI10" s="20"/>
      <c r="AJ10" s="20"/>
      <c r="AK10" s="20">
        <f ca="1">IFERROR(__xludf.DUMMYFUNCTION("+AI10+AJ10"),0)</f>
        <v>0</v>
      </c>
      <c r="AL10" s="20">
        <f ca="1">IFERROR(__xludf.DUMMYFUNCTION("+AK10*$D10"),0)</f>
        <v>0</v>
      </c>
      <c r="AM10" s="21"/>
      <c r="AN10" s="20"/>
      <c r="AO10" s="20"/>
      <c r="AP10" s="20">
        <f ca="1">IFERROR(__xludf.DUMMYFUNCTION("+AN10+AO10"),0)</f>
        <v>0</v>
      </c>
      <c r="AQ10" s="20">
        <f ca="1">IFERROR(__xludf.DUMMYFUNCTION("+AP10*$D10"),0)</f>
        <v>0</v>
      </c>
      <c r="AS10" s="20"/>
      <c r="AT10" s="20"/>
      <c r="AU10" s="20">
        <f ca="1">IFERROR(__xludf.DUMMYFUNCTION("+AS10+AT10"),0)</f>
        <v>0</v>
      </c>
      <c r="AV10" s="20">
        <f ca="1">IFERROR(__xludf.DUMMYFUNCTION("+AU10*$D10"),0)</f>
        <v>0</v>
      </c>
      <c r="AX10" s="20"/>
      <c r="AY10" s="20"/>
      <c r="AZ10" s="20">
        <f ca="1">IFERROR(__xludf.DUMMYFUNCTION("+AX10+AY10"),0)</f>
        <v>0</v>
      </c>
      <c r="BA10" s="20">
        <f ca="1">IFERROR(__xludf.DUMMYFUNCTION("+AZ10*$D10"),0)</f>
        <v>0</v>
      </c>
      <c r="BC10" s="20"/>
      <c r="BD10" s="20"/>
      <c r="BE10" s="20">
        <f ca="1">IFERROR(__xludf.DUMMYFUNCTION("+BC10+BD10"),0)</f>
        <v>0</v>
      </c>
      <c r="BF10" s="20">
        <f ca="1">IFERROR(__xludf.DUMMYFUNCTION("+BE10*$D10"),0)</f>
        <v>0</v>
      </c>
      <c r="BH10" s="20">
        <f>950+250</f>
        <v>1200</v>
      </c>
      <c r="BI10" s="20">
        <v>0</v>
      </c>
      <c r="BJ10" s="20">
        <f ca="1">IFERROR(__xludf.DUMMYFUNCTION("+BH10+BI10"),1200)</f>
        <v>1200</v>
      </c>
      <c r="BK10" s="20">
        <f ca="1">IFERROR(__xludf.DUMMYFUNCTION("+BJ10*$D10"),9600000)</f>
        <v>9600000</v>
      </c>
      <c r="BM10" s="123">
        <v>2000</v>
      </c>
      <c r="BN10" s="124">
        <v>0</v>
      </c>
      <c r="BO10" s="124">
        <f t="shared" si="2"/>
        <v>2000</v>
      </c>
      <c r="BP10" s="124">
        <f t="shared" ref="BP10" ca="1" si="7">BO10*D10</f>
        <v>16000000</v>
      </c>
      <c r="BR10" s="123"/>
      <c r="BS10" s="124">
        <v>0</v>
      </c>
      <c r="BT10" s="124">
        <f t="shared" si="3"/>
        <v>0</v>
      </c>
      <c r="BU10" s="124">
        <f ca="1">BT10*D10</f>
        <v>0</v>
      </c>
      <c r="BW10" s="123">
        <v>2200</v>
      </c>
      <c r="BX10" s="124">
        <v>0</v>
      </c>
      <c r="BY10" s="124">
        <f t="shared" si="4"/>
        <v>2200</v>
      </c>
      <c r="BZ10" s="124">
        <f>BY10*I10</f>
        <v>0</v>
      </c>
      <c r="CB10" s="123">
        <v>1495</v>
      </c>
      <c r="CC10" s="124">
        <v>0</v>
      </c>
      <c r="CD10" s="124">
        <f t="shared" si="5"/>
        <v>1495</v>
      </c>
      <c r="CE10" s="124">
        <f ca="1">CD10*D10</f>
        <v>11960000</v>
      </c>
      <c r="CG10" s="123"/>
      <c r="CH10" s="124"/>
      <c r="CI10" s="124"/>
      <c r="CJ10" s="124"/>
      <c r="CL10" s="123"/>
      <c r="CM10" s="124"/>
      <c r="CN10" s="124"/>
      <c r="CO10" s="124"/>
      <c r="CQ10" s="138">
        <f t="shared" ca="1" si="6"/>
        <v>1723.75</v>
      </c>
    </row>
    <row r="11" spans="1:95" x14ac:dyDescent="0.2">
      <c r="A11" s="272" t="s">
        <v>26</v>
      </c>
      <c r="B11" s="273"/>
      <c r="C11" s="273"/>
      <c r="D11" s="273"/>
      <c r="E11" s="273"/>
      <c r="F11" s="273"/>
      <c r="G11" s="273"/>
      <c r="H11" s="274"/>
      <c r="J11" s="10"/>
      <c r="K11" s="11"/>
      <c r="L11" s="11"/>
      <c r="M11" s="12"/>
      <c r="O11" s="10"/>
      <c r="P11" s="11"/>
      <c r="Q11" s="11"/>
      <c r="R11" s="12"/>
      <c r="T11" s="10"/>
      <c r="U11" s="11"/>
      <c r="V11" s="11"/>
      <c r="W11" s="12"/>
      <c r="Y11" s="10"/>
      <c r="Z11" s="11"/>
      <c r="AA11" s="11"/>
      <c r="AB11" s="12"/>
      <c r="AD11" s="10"/>
      <c r="AE11" s="11"/>
      <c r="AF11" s="11"/>
      <c r="AG11" s="12"/>
      <c r="AI11" s="10"/>
      <c r="AJ11" s="11"/>
      <c r="AK11" s="11"/>
      <c r="AL11" s="12"/>
      <c r="AM11" s="13"/>
      <c r="AN11" s="10"/>
      <c r="AO11" s="11"/>
      <c r="AP11" s="11"/>
      <c r="AQ11" s="12"/>
      <c r="AS11" s="10"/>
      <c r="AT11" s="11"/>
      <c r="AU11" s="11"/>
      <c r="AV11" s="12"/>
      <c r="AX11" s="10"/>
      <c r="AY11" s="11"/>
      <c r="AZ11" s="11"/>
      <c r="BA11" s="12"/>
      <c r="BC11" s="10"/>
      <c r="BD11" s="11"/>
      <c r="BE11" s="11"/>
      <c r="BF11" s="12"/>
      <c r="BH11" s="10"/>
      <c r="BI11" s="11"/>
      <c r="BJ11" s="11"/>
      <c r="BK11" s="12"/>
      <c r="BM11" s="120"/>
      <c r="BN11" s="121"/>
      <c r="BO11" s="121"/>
      <c r="BP11" s="122"/>
      <c r="BR11" s="120"/>
      <c r="BS11" s="121"/>
      <c r="BT11" s="121"/>
      <c r="BU11" s="122"/>
      <c r="BW11" s="120"/>
      <c r="BX11" s="121"/>
      <c r="BY11" s="121"/>
      <c r="BZ11" s="122"/>
      <c r="CB11" s="120"/>
      <c r="CC11" s="121"/>
      <c r="CD11" s="121"/>
      <c r="CE11" s="122"/>
      <c r="CG11" s="120"/>
      <c r="CH11" s="121"/>
      <c r="CI11" s="121"/>
      <c r="CJ11" s="122"/>
      <c r="CL11" s="120"/>
      <c r="CM11" s="121"/>
      <c r="CN11" s="121"/>
      <c r="CO11" s="122"/>
      <c r="CQ11" s="142"/>
    </row>
    <row r="12" spans="1:95" ht="32" x14ac:dyDescent="0.2">
      <c r="A12" s="25" t="s">
        <v>27</v>
      </c>
      <c r="B12" s="26" t="s">
        <v>23</v>
      </c>
      <c r="C12" s="16">
        <v>60</v>
      </c>
      <c r="D12" s="16">
        <f ca="1">IFERROR(__xludf.DUMMYFUNCTION("+C12*$B$2"),4800)</f>
        <v>4800</v>
      </c>
      <c r="E12" s="17">
        <v>2800</v>
      </c>
      <c r="F12" s="18">
        <f t="shared" ref="F12:F14" si="8">E12*C12</f>
        <v>168000</v>
      </c>
      <c r="G12" s="18">
        <f ca="1">IFERROR(__xludf.DUMMYFUNCTION("+E12*D12"),13440000)</f>
        <v>13440000</v>
      </c>
      <c r="H12" s="27"/>
      <c r="J12" s="20"/>
      <c r="K12" s="20"/>
      <c r="L12" s="20">
        <f ca="1">IFERROR(__xludf.DUMMYFUNCTION("+J12+K12"),0)</f>
        <v>0</v>
      </c>
      <c r="M12" s="20">
        <f ca="1">IFERROR(__xludf.DUMMYFUNCTION("+L12*$D12"),0)</f>
        <v>0</v>
      </c>
      <c r="O12" s="20"/>
      <c r="P12" s="20"/>
      <c r="Q12" s="20">
        <f ca="1">IFERROR(__xludf.DUMMYFUNCTION("+O12+P12"),0)</f>
        <v>0</v>
      </c>
      <c r="R12" s="20">
        <f ca="1">IFERROR(__xludf.DUMMYFUNCTION("+Q12*$D12"),0)</f>
        <v>0</v>
      </c>
      <c r="T12" s="20"/>
      <c r="U12" s="20"/>
      <c r="V12" s="20">
        <f ca="1">IFERROR(__xludf.DUMMYFUNCTION("+T12+U12"),0)</f>
        <v>0</v>
      </c>
      <c r="W12" s="20">
        <f ca="1">IFERROR(__xludf.DUMMYFUNCTION("+V12*$D12"),0)</f>
        <v>0</v>
      </c>
      <c r="Y12" s="20"/>
      <c r="Z12" s="20"/>
      <c r="AA12" s="20">
        <f ca="1">IFERROR(__xludf.DUMMYFUNCTION("+Y12+Z12"),0)</f>
        <v>0</v>
      </c>
      <c r="AB12" s="20">
        <f ca="1">IFERROR(__xludf.DUMMYFUNCTION("+AA12*$D12"),0)</f>
        <v>0</v>
      </c>
      <c r="AD12" s="20"/>
      <c r="AE12" s="20"/>
      <c r="AF12" s="20">
        <f ca="1">IFERROR(__xludf.DUMMYFUNCTION("+AD12+AE12"),0)</f>
        <v>0</v>
      </c>
      <c r="AG12" s="20">
        <f ca="1">IFERROR(__xludf.DUMMYFUNCTION("+AF12*$D12"),0)</f>
        <v>0</v>
      </c>
      <c r="AI12" s="20"/>
      <c r="AJ12" s="20"/>
      <c r="AK12" s="20">
        <f ca="1">IFERROR(__xludf.DUMMYFUNCTION("+AI12+AJ12"),0)</f>
        <v>0</v>
      </c>
      <c r="AL12" s="20">
        <f ca="1">IFERROR(__xludf.DUMMYFUNCTION("+AK12*$D12"),0)</f>
        <v>0</v>
      </c>
      <c r="AM12" s="28"/>
      <c r="AN12" s="20"/>
      <c r="AO12" s="20"/>
      <c r="AP12" s="20">
        <f ca="1">IFERROR(__xludf.DUMMYFUNCTION("+AN12+AO12"),0)</f>
        <v>0</v>
      </c>
      <c r="AQ12" s="20">
        <f ca="1">IFERROR(__xludf.DUMMYFUNCTION("+AP12*$D12"),0)</f>
        <v>0</v>
      </c>
      <c r="AS12" s="20"/>
      <c r="AT12" s="20"/>
      <c r="AU12" s="20">
        <f ca="1">IFERROR(__xludf.DUMMYFUNCTION("+AS12+AT12"),0)</f>
        <v>0</v>
      </c>
      <c r="AV12" s="20">
        <f ca="1">IFERROR(__xludf.DUMMYFUNCTION("+AU12*$D12"),0)</f>
        <v>0</v>
      </c>
      <c r="AX12" s="20"/>
      <c r="AY12" s="20"/>
      <c r="AZ12" s="20">
        <f ca="1">IFERROR(__xludf.DUMMYFUNCTION("+AX12+AY12"),0)</f>
        <v>0</v>
      </c>
      <c r="BA12" s="20">
        <f ca="1">IFERROR(__xludf.DUMMYFUNCTION("+AZ12*$D12"),0)</f>
        <v>0</v>
      </c>
      <c r="BC12" s="20"/>
      <c r="BD12" s="20"/>
      <c r="BE12" s="20">
        <f ca="1">IFERROR(__xludf.DUMMYFUNCTION("+BC12+BD12"),0)</f>
        <v>0</v>
      </c>
      <c r="BF12" s="20">
        <f ca="1">IFERROR(__xludf.DUMMYFUNCTION("+BE12*$D12"),0)</f>
        <v>0</v>
      </c>
      <c r="BH12" s="20">
        <v>5000</v>
      </c>
      <c r="BI12" s="20">
        <v>0</v>
      </c>
      <c r="BJ12" s="20">
        <f ca="1">IFERROR(__xludf.DUMMYFUNCTION("+BH12+BI12"),5000)</f>
        <v>5000</v>
      </c>
      <c r="BK12" s="20">
        <f ca="1">IFERROR(__xludf.DUMMYFUNCTION("+BJ12*$D12"),24000000)</f>
        <v>24000000</v>
      </c>
      <c r="BM12" s="123">
        <v>3000</v>
      </c>
      <c r="BN12" s="124"/>
      <c r="BO12" s="124">
        <f>BM12</f>
        <v>3000</v>
      </c>
      <c r="BP12" s="124">
        <f ca="1">BO12*D12</f>
        <v>14400000</v>
      </c>
      <c r="BR12" s="123">
        <v>4800</v>
      </c>
      <c r="BS12" s="124"/>
      <c r="BT12" s="124">
        <f>BR12</f>
        <v>4800</v>
      </c>
      <c r="BU12" s="124">
        <f t="shared" ref="BU12:BU19" ca="1" si="9">BT12*D12</f>
        <v>23040000</v>
      </c>
      <c r="BW12" s="123">
        <v>2500</v>
      </c>
      <c r="BX12" s="124"/>
      <c r="BY12" s="124">
        <f>BW12</f>
        <v>2500</v>
      </c>
      <c r="BZ12" s="124">
        <f t="shared" ref="BZ12:BZ19" si="10">BY12*I12</f>
        <v>0</v>
      </c>
      <c r="CB12" s="128">
        <v>4024.9999999999995</v>
      </c>
      <c r="CC12" s="124"/>
      <c r="CD12" s="124">
        <f>CB12</f>
        <v>4024.9999999999995</v>
      </c>
      <c r="CE12" s="124">
        <f t="shared" ref="CE12:CE19" ca="1" si="11">CD12*D12</f>
        <v>19319999.999999996</v>
      </c>
      <c r="CG12" s="123"/>
      <c r="CH12" s="124"/>
      <c r="CI12" s="124"/>
      <c r="CJ12" s="124"/>
      <c r="CL12" s="123"/>
      <c r="CM12" s="124"/>
      <c r="CN12" s="124"/>
      <c r="CO12" s="124"/>
      <c r="CQ12" s="138">
        <f ca="1">AVERAGE(BJ12,BO12,BT12,BY12,CD12)</f>
        <v>3865</v>
      </c>
    </row>
    <row r="13" spans="1:95" ht="32" x14ac:dyDescent="0.2">
      <c r="A13" s="25" t="s">
        <v>28</v>
      </c>
      <c r="B13" s="26" t="s">
        <v>23</v>
      </c>
      <c r="C13" s="16">
        <v>15</v>
      </c>
      <c r="D13" s="16">
        <f ca="1">IFERROR(__xludf.DUMMYFUNCTION("+C13*$B$2"),1200)</f>
        <v>1200</v>
      </c>
      <c r="E13" s="17">
        <v>2800</v>
      </c>
      <c r="F13" s="18">
        <f t="shared" si="8"/>
        <v>42000</v>
      </c>
      <c r="G13" s="18">
        <f ca="1">IFERROR(__xludf.DUMMYFUNCTION("+E13*D13"),3360000)</f>
        <v>3360000</v>
      </c>
      <c r="H13" s="27"/>
      <c r="J13" s="20"/>
      <c r="K13" s="20"/>
      <c r="L13" s="20">
        <f ca="1">IFERROR(__xludf.DUMMYFUNCTION("+J13+K13"),0)</f>
        <v>0</v>
      </c>
      <c r="M13" s="20">
        <f ca="1">IFERROR(__xludf.DUMMYFUNCTION("+L13*$D13"),0)</f>
        <v>0</v>
      </c>
      <c r="O13" s="20"/>
      <c r="P13" s="20"/>
      <c r="Q13" s="20">
        <f ca="1">IFERROR(__xludf.DUMMYFUNCTION("+O13+P13"),0)</f>
        <v>0</v>
      </c>
      <c r="R13" s="20">
        <f ca="1">IFERROR(__xludf.DUMMYFUNCTION("+Q13*$D13"),0)</f>
        <v>0</v>
      </c>
      <c r="T13" s="20"/>
      <c r="U13" s="20"/>
      <c r="V13" s="20">
        <f ca="1">IFERROR(__xludf.DUMMYFUNCTION("+T13+U13"),0)</f>
        <v>0</v>
      </c>
      <c r="W13" s="20">
        <f ca="1">IFERROR(__xludf.DUMMYFUNCTION("+V13*$D13"),0)</f>
        <v>0</v>
      </c>
      <c r="Y13" s="20"/>
      <c r="Z13" s="20"/>
      <c r="AA13" s="20">
        <f ca="1">IFERROR(__xludf.DUMMYFUNCTION("+Y13+Z13"),0)</f>
        <v>0</v>
      </c>
      <c r="AB13" s="20">
        <f ca="1">IFERROR(__xludf.DUMMYFUNCTION("+AA13*$D13"),0)</f>
        <v>0</v>
      </c>
      <c r="AD13" s="20"/>
      <c r="AE13" s="20"/>
      <c r="AF13" s="20">
        <f ca="1">IFERROR(__xludf.DUMMYFUNCTION("+AD13+AE13"),0)</f>
        <v>0</v>
      </c>
      <c r="AG13" s="20">
        <f ca="1">IFERROR(__xludf.DUMMYFUNCTION("+AF13*$D13"),0)</f>
        <v>0</v>
      </c>
      <c r="AI13" s="20"/>
      <c r="AJ13" s="20"/>
      <c r="AK13" s="20">
        <f ca="1">IFERROR(__xludf.DUMMYFUNCTION("+AI13+AJ13"),0)</f>
        <v>0</v>
      </c>
      <c r="AL13" s="20">
        <f ca="1">IFERROR(__xludf.DUMMYFUNCTION("+AK13*$D13"),0)</f>
        <v>0</v>
      </c>
      <c r="AM13" s="28"/>
      <c r="AN13" s="20"/>
      <c r="AO13" s="20"/>
      <c r="AP13" s="20">
        <f ca="1">IFERROR(__xludf.DUMMYFUNCTION("+AN13+AO13"),0)</f>
        <v>0</v>
      </c>
      <c r="AQ13" s="20">
        <f ca="1">IFERROR(__xludf.DUMMYFUNCTION("+AP13*$D13"),0)</f>
        <v>0</v>
      </c>
      <c r="AS13" s="20"/>
      <c r="AT13" s="20"/>
      <c r="AU13" s="20">
        <f ca="1">IFERROR(__xludf.DUMMYFUNCTION("+AS13+AT13"),0)</f>
        <v>0</v>
      </c>
      <c r="AV13" s="20">
        <f ca="1">IFERROR(__xludf.DUMMYFUNCTION("+AU13*$D13"),0)</f>
        <v>0</v>
      </c>
      <c r="AX13" s="20"/>
      <c r="AY13" s="20"/>
      <c r="AZ13" s="20">
        <f ca="1">IFERROR(__xludf.DUMMYFUNCTION("+AX13+AY13"),0)</f>
        <v>0</v>
      </c>
      <c r="BA13" s="20">
        <f ca="1">IFERROR(__xludf.DUMMYFUNCTION("+AZ13*$D13"),0)</f>
        <v>0</v>
      </c>
      <c r="BC13" s="20"/>
      <c r="BD13" s="20"/>
      <c r="BE13" s="20">
        <f ca="1">IFERROR(__xludf.DUMMYFUNCTION("+BC13+BD13"),0)</f>
        <v>0</v>
      </c>
      <c r="BF13" s="20">
        <f ca="1">IFERROR(__xludf.DUMMYFUNCTION("+BE13*$D13"),0)</f>
        <v>0</v>
      </c>
      <c r="BH13" s="20">
        <v>5000</v>
      </c>
      <c r="BI13" s="20">
        <v>0</v>
      </c>
      <c r="BJ13" s="20">
        <f ca="1">IFERROR(__xludf.DUMMYFUNCTION("+BH13+BI13"),5000)</f>
        <v>5000</v>
      </c>
      <c r="BK13" s="20">
        <f ca="1">IFERROR(__xludf.DUMMYFUNCTION("+BJ13*$D13"),6000000)</f>
        <v>6000000</v>
      </c>
      <c r="BM13" s="123">
        <v>3000</v>
      </c>
      <c r="BN13" s="124"/>
      <c r="BO13" s="124">
        <f t="shared" ref="BO13:BO19" si="12">BM13</f>
        <v>3000</v>
      </c>
      <c r="BP13" s="124">
        <f t="shared" ref="BP13:BP19" ca="1" si="13">BO13*D13</f>
        <v>3600000</v>
      </c>
      <c r="BR13" s="123">
        <v>4800</v>
      </c>
      <c r="BS13" s="124"/>
      <c r="BT13" s="124">
        <f t="shared" ref="BT13:BT19" si="14">BR13</f>
        <v>4800</v>
      </c>
      <c r="BU13" s="124">
        <f t="shared" ca="1" si="9"/>
        <v>5760000</v>
      </c>
      <c r="BW13" s="221">
        <v>2500</v>
      </c>
      <c r="BX13" s="124"/>
      <c r="BY13" s="124">
        <f t="shared" ref="BY13:BY19" si="15">BW13</f>
        <v>2500</v>
      </c>
      <c r="BZ13" s="124">
        <f t="shared" si="10"/>
        <v>0</v>
      </c>
      <c r="CB13" s="128">
        <v>4024.9999999999995</v>
      </c>
      <c r="CC13" s="124"/>
      <c r="CD13" s="124">
        <f t="shared" ref="CD13:CD19" si="16">CB13</f>
        <v>4024.9999999999995</v>
      </c>
      <c r="CE13" s="124">
        <f t="shared" ca="1" si="11"/>
        <v>4829999.9999999991</v>
      </c>
      <c r="CG13" s="123"/>
      <c r="CH13" s="124"/>
      <c r="CI13" s="124"/>
      <c r="CJ13" s="124"/>
      <c r="CL13" s="123"/>
      <c r="CM13" s="124"/>
      <c r="CN13" s="124"/>
      <c r="CO13" s="124"/>
      <c r="CQ13" s="138">
        <f t="shared" ref="CQ13" ca="1" si="17">AVERAGE(BJ13,BO13,BT13,BY13,CD13)</f>
        <v>3865</v>
      </c>
    </row>
    <row r="14" spans="1:95" x14ac:dyDescent="0.2">
      <c r="A14" s="29" t="s">
        <v>262</v>
      </c>
      <c r="B14" s="26" t="s">
        <v>23</v>
      </c>
      <c r="C14" s="16">
        <v>50</v>
      </c>
      <c r="D14" s="16">
        <f ca="1">IFERROR(__xludf.DUMMYFUNCTION("+C14*$B$2"),4000)</f>
        <v>4000</v>
      </c>
      <c r="E14" s="17">
        <v>4000</v>
      </c>
      <c r="F14" s="18">
        <f t="shared" si="8"/>
        <v>200000</v>
      </c>
      <c r="G14" s="18">
        <f ca="1">IFERROR(__xludf.DUMMYFUNCTION("+E14*D14"),16000000)</f>
        <v>16000000</v>
      </c>
      <c r="H14" s="27"/>
      <c r="J14" s="20"/>
      <c r="K14" s="20"/>
      <c r="L14" s="20">
        <f ca="1">IFERROR(__xludf.DUMMYFUNCTION("+J14+K14"),0)</f>
        <v>0</v>
      </c>
      <c r="M14" s="20">
        <f ca="1">IFERROR(__xludf.DUMMYFUNCTION("+L14*$D14"),0)</f>
        <v>0</v>
      </c>
      <c r="O14" s="20"/>
      <c r="P14" s="20"/>
      <c r="Q14" s="20">
        <f ca="1">IFERROR(__xludf.DUMMYFUNCTION("+O14+P14"),0)</f>
        <v>0</v>
      </c>
      <c r="R14" s="20">
        <f ca="1">IFERROR(__xludf.DUMMYFUNCTION("+Q14*$D14"),0)</f>
        <v>0</v>
      </c>
      <c r="T14" s="20"/>
      <c r="U14" s="20"/>
      <c r="V14" s="20">
        <f ca="1">IFERROR(__xludf.DUMMYFUNCTION("+T14+U14"),0)</f>
        <v>0</v>
      </c>
      <c r="W14" s="20">
        <f ca="1">IFERROR(__xludf.DUMMYFUNCTION("+V14*$D14"),0)</f>
        <v>0</v>
      </c>
      <c r="Y14" s="20"/>
      <c r="Z14" s="20"/>
      <c r="AA14" s="20">
        <f ca="1">IFERROR(__xludf.DUMMYFUNCTION("+Y14+Z14"),0)</f>
        <v>0</v>
      </c>
      <c r="AB14" s="20">
        <f ca="1">IFERROR(__xludf.DUMMYFUNCTION("+AA14*$D14"),0)</f>
        <v>0</v>
      </c>
      <c r="AD14" s="20"/>
      <c r="AE14" s="20"/>
      <c r="AF14" s="20">
        <f ca="1">IFERROR(__xludf.DUMMYFUNCTION("+AD14+AE14"),0)</f>
        <v>0</v>
      </c>
      <c r="AG14" s="20">
        <f ca="1">IFERROR(__xludf.DUMMYFUNCTION("+AF14*$D14"),0)</f>
        <v>0</v>
      </c>
      <c r="AI14" s="20"/>
      <c r="AJ14" s="20"/>
      <c r="AK14" s="20">
        <f ca="1">IFERROR(__xludf.DUMMYFUNCTION("+AI14+AJ14"),0)</f>
        <v>0</v>
      </c>
      <c r="AL14" s="20">
        <f ca="1">IFERROR(__xludf.DUMMYFUNCTION("+AK14*$D14"),0)</f>
        <v>0</v>
      </c>
      <c r="AM14" s="28"/>
      <c r="AN14" s="20"/>
      <c r="AO14" s="20"/>
      <c r="AP14" s="20">
        <f ca="1">IFERROR(__xludf.DUMMYFUNCTION("+AN14+AO14"),0)</f>
        <v>0</v>
      </c>
      <c r="AQ14" s="20">
        <f ca="1">IFERROR(__xludf.DUMMYFUNCTION("+AP14*$D14"),0)</f>
        <v>0</v>
      </c>
      <c r="AS14" s="20"/>
      <c r="AT14" s="20"/>
      <c r="AU14" s="20">
        <f ca="1">IFERROR(__xludf.DUMMYFUNCTION("+AS14+AT14"),0)</f>
        <v>0</v>
      </c>
      <c r="AV14" s="20">
        <f ca="1">IFERROR(__xludf.DUMMYFUNCTION("+AU14*$D14"),0)</f>
        <v>0</v>
      </c>
      <c r="AX14" s="20"/>
      <c r="AY14" s="20"/>
      <c r="AZ14" s="20">
        <f ca="1">IFERROR(__xludf.DUMMYFUNCTION("+AX14+AY14"),0)</f>
        <v>0</v>
      </c>
      <c r="BA14" s="20">
        <f ca="1">IFERROR(__xludf.DUMMYFUNCTION("+AZ14*$D14"),0)</f>
        <v>0</v>
      </c>
      <c r="BC14" s="20"/>
      <c r="BD14" s="20"/>
      <c r="BE14" s="20">
        <f ca="1">IFERROR(__xludf.DUMMYFUNCTION("+BC14+BD14"),0)</f>
        <v>0</v>
      </c>
      <c r="BF14" s="20">
        <f ca="1">IFERROR(__xludf.DUMMYFUNCTION("+BE14*$D14"),0)</f>
        <v>0</v>
      </c>
      <c r="BH14" s="20">
        <v>9000</v>
      </c>
      <c r="BI14" s="20"/>
      <c r="BJ14" s="20">
        <v>9000</v>
      </c>
      <c r="BK14" s="20">
        <f ca="1">IFERROR(__xludf.DUMMYFUNCTION("+BJ13*$D13"),6000000)</f>
        <v>6000000</v>
      </c>
      <c r="BM14" s="123">
        <v>9200</v>
      </c>
      <c r="BN14" s="124"/>
      <c r="BO14" s="124">
        <f t="shared" si="12"/>
        <v>9200</v>
      </c>
      <c r="BP14" s="124">
        <f t="shared" ca="1" si="13"/>
        <v>36800000</v>
      </c>
      <c r="BR14" s="123">
        <v>9150</v>
      </c>
      <c r="BS14" s="124"/>
      <c r="BT14" s="124">
        <f t="shared" si="14"/>
        <v>9150</v>
      </c>
      <c r="BU14" s="124">
        <f t="shared" ca="1" si="9"/>
        <v>36600000</v>
      </c>
      <c r="BW14" s="221">
        <v>9075</v>
      </c>
      <c r="BX14" s="124"/>
      <c r="BY14" s="124">
        <f t="shared" si="15"/>
        <v>9075</v>
      </c>
      <c r="BZ14" s="124">
        <f t="shared" si="10"/>
        <v>0</v>
      </c>
      <c r="CB14" s="128">
        <v>9025</v>
      </c>
      <c r="CC14" s="124"/>
      <c r="CD14" s="124">
        <f t="shared" si="16"/>
        <v>9025</v>
      </c>
      <c r="CE14" s="124">
        <f t="shared" ca="1" si="11"/>
        <v>36100000</v>
      </c>
      <c r="CG14" s="123"/>
      <c r="CH14" s="124"/>
      <c r="CI14" s="124"/>
      <c r="CJ14" s="124"/>
      <c r="CL14" s="123"/>
      <c r="CM14" s="124"/>
      <c r="CN14" s="124"/>
      <c r="CO14" s="124"/>
      <c r="CQ14" s="138">
        <f>AVERAGE(BO14,BT14,BY14,CD14)</f>
        <v>9112.5</v>
      </c>
    </row>
    <row r="15" spans="1:95" x14ac:dyDescent="0.2">
      <c r="A15" s="29" t="s">
        <v>29</v>
      </c>
      <c r="B15" s="26" t="s">
        <v>23</v>
      </c>
      <c r="C15" s="16">
        <v>10</v>
      </c>
      <c r="D15" s="16">
        <f ca="1">IFERROR(__xludf.DUMMYFUNCTION("+C15*$B$2"),800)</f>
        <v>800</v>
      </c>
      <c r="E15" s="17">
        <v>20000</v>
      </c>
      <c r="F15" s="18">
        <f>E15*C15</f>
        <v>200000</v>
      </c>
      <c r="G15" s="18">
        <f ca="1">IFERROR(__xludf.DUMMYFUNCTION("+E15*D15"),16000000)</f>
        <v>16000000</v>
      </c>
      <c r="H15" s="27"/>
      <c r="J15" s="20"/>
      <c r="K15" s="20"/>
      <c r="L15" s="20">
        <f ca="1">IFERROR(__xludf.DUMMYFUNCTION("+J15+K15"),0)</f>
        <v>0</v>
      </c>
      <c r="M15" s="20">
        <f ca="1">IFERROR(__xludf.DUMMYFUNCTION("+L15*$D15"),0)</f>
        <v>0</v>
      </c>
      <c r="O15" s="20"/>
      <c r="P15" s="20"/>
      <c r="Q15" s="20">
        <f ca="1">IFERROR(__xludf.DUMMYFUNCTION("+O15+P15"),0)</f>
        <v>0</v>
      </c>
      <c r="R15" s="20">
        <f ca="1">IFERROR(__xludf.DUMMYFUNCTION("+Q15*$D15"),0)</f>
        <v>0</v>
      </c>
      <c r="T15" s="20"/>
      <c r="U15" s="20"/>
      <c r="V15" s="20">
        <f ca="1">IFERROR(__xludf.DUMMYFUNCTION("+T15+U15"),0)</f>
        <v>0</v>
      </c>
      <c r="W15" s="20">
        <f ca="1">IFERROR(__xludf.DUMMYFUNCTION("+V15*$D15"),0)</f>
        <v>0</v>
      </c>
      <c r="Y15" s="20"/>
      <c r="Z15" s="20"/>
      <c r="AA15" s="20">
        <f ca="1">IFERROR(__xludf.DUMMYFUNCTION("+Y15+Z15"),0)</f>
        <v>0</v>
      </c>
      <c r="AB15" s="20">
        <f ca="1">IFERROR(__xludf.DUMMYFUNCTION("+AA15*$D15"),0)</f>
        <v>0</v>
      </c>
      <c r="AD15" s="20"/>
      <c r="AE15" s="20"/>
      <c r="AF15" s="20">
        <f ca="1">IFERROR(__xludf.DUMMYFUNCTION("+AD15+AE15"),0)</f>
        <v>0</v>
      </c>
      <c r="AG15" s="20">
        <f ca="1">IFERROR(__xludf.DUMMYFUNCTION("+AF15*$D15"),0)</f>
        <v>0</v>
      </c>
      <c r="AI15" s="20"/>
      <c r="AJ15" s="20"/>
      <c r="AK15" s="20">
        <f ca="1">IFERROR(__xludf.DUMMYFUNCTION("+AI15+AJ15"),0)</f>
        <v>0</v>
      </c>
      <c r="AL15" s="20">
        <f ca="1">IFERROR(__xludf.DUMMYFUNCTION("+AK15*$D15"),0)</f>
        <v>0</v>
      </c>
      <c r="AM15" s="28"/>
      <c r="AN15" s="20"/>
      <c r="AO15" s="20"/>
      <c r="AP15" s="20">
        <f ca="1">IFERROR(__xludf.DUMMYFUNCTION("+AN15+AO15"),0)</f>
        <v>0</v>
      </c>
      <c r="AQ15" s="20">
        <f ca="1">IFERROR(__xludf.DUMMYFUNCTION("+AP15*$D15"),0)</f>
        <v>0</v>
      </c>
      <c r="AS15" s="20"/>
      <c r="AT15" s="20"/>
      <c r="AU15" s="20">
        <f ca="1">IFERROR(__xludf.DUMMYFUNCTION("+AS15+AT15"),0)</f>
        <v>0</v>
      </c>
      <c r="AV15" s="20">
        <f ca="1">IFERROR(__xludf.DUMMYFUNCTION("+AU15*$D15"),0)</f>
        <v>0</v>
      </c>
      <c r="AX15" s="20"/>
      <c r="AY15" s="20"/>
      <c r="AZ15" s="20">
        <f ca="1">IFERROR(__xludf.DUMMYFUNCTION("+AX15+AY15"),0)</f>
        <v>0</v>
      </c>
      <c r="BA15" s="20">
        <f ca="1">IFERROR(__xludf.DUMMYFUNCTION("+AZ15*$D15"),0)</f>
        <v>0</v>
      </c>
      <c r="BC15" s="20"/>
      <c r="BD15" s="20"/>
      <c r="BE15" s="20">
        <f ca="1">IFERROR(__xludf.DUMMYFUNCTION("+BC15+BD15"),0)</f>
        <v>0</v>
      </c>
      <c r="BF15" s="20">
        <f ca="1">IFERROR(__xludf.DUMMYFUNCTION("+BE15*$D15"),0)</f>
        <v>0</v>
      </c>
      <c r="BH15" s="20">
        <v>22000</v>
      </c>
      <c r="BI15" s="20">
        <v>0</v>
      </c>
      <c r="BJ15" s="20">
        <f ca="1">IFERROR(__xludf.DUMMYFUNCTION("+BH15+BI15"),22000)</f>
        <v>22000</v>
      </c>
      <c r="BK15" s="20">
        <f ca="1">IFERROR(__xludf.DUMMYFUNCTION("+BJ15*$D15"),17600000)</f>
        <v>17600000</v>
      </c>
      <c r="BM15" s="123">
        <v>20000</v>
      </c>
      <c r="BN15" s="124"/>
      <c r="BO15" s="124">
        <f t="shared" si="12"/>
        <v>20000</v>
      </c>
      <c r="BP15" s="124">
        <f t="shared" ca="1" si="13"/>
        <v>16000000</v>
      </c>
      <c r="BR15" s="123">
        <v>23000</v>
      </c>
      <c r="BS15" s="124"/>
      <c r="BT15" s="124">
        <f t="shared" si="14"/>
        <v>23000</v>
      </c>
      <c r="BU15" s="124">
        <f t="shared" ca="1" si="9"/>
        <v>18400000</v>
      </c>
      <c r="BW15" s="221">
        <v>17000</v>
      </c>
      <c r="BX15" s="124"/>
      <c r="BY15" s="124">
        <f t="shared" si="15"/>
        <v>17000</v>
      </c>
      <c r="BZ15" s="124">
        <f t="shared" si="10"/>
        <v>0</v>
      </c>
      <c r="CB15" s="128">
        <v>19550</v>
      </c>
      <c r="CC15" s="124"/>
      <c r="CD15" s="124">
        <f t="shared" si="16"/>
        <v>19550</v>
      </c>
      <c r="CE15" s="124">
        <f t="shared" ca="1" si="11"/>
        <v>15640000</v>
      </c>
      <c r="CG15" s="123"/>
      <c r="CH15" s="124"/>
      <c r="CI15" s="124"/>
      <c r="CJ15" s="124"/>
      <c r="CL15" s="123"/>
      <c r="CM15" s="124"/>
      <c r="CN15" s="124"/>
      <c r="CO15" s="124"/>
      <c r="CQ15" s="138">
        <f ca="1">AVERAGE(BJ15,BO15,BT15,BY15,CD15)</f>
        <v>20310</v>
      </c>
    </row>
    <row r="16" spans="1:95" x14ac:dyDescent="0.2">
      <c r="A16" s="29" t="s">
        <v>30</v>
      </c>
      <c r="B16" s="26" t="s">
        <v>31</v>
      </c>
      <c r="C16" s="16">
        <v>10</v>
      </c>
      <c r="D16" s="16">
        <f ca="1">IFERROR(__xludf.DUMMYFUNCTION("+C16*$B$2"),800)</f>
        <v>800</v>
      </c>
      <c r="E16" s="17">
        <v>22000</v>
      </c>
      <c r="F16" s="18">
        <f>E16*C16</f>
        <v>220000</v>
      </c>
      <c r="G16" s="18">
        <f ca="1">IFERROR(__xludf.DUMMYFUNCTION("+E16*D16"),17600000)</f>
        <v>17600000</v>
      </c>
      <c r="H16" s="27"/>
      <c r="J16" s="20"/>
      <c r="K16" s="20"/>
      <c r="L16" s="20">
        <f ca="1">IFERROR(__xludf.DUMMYFUNCTION("+J16+K16"),0)</f>
        <v>0</v>
      </c>
      <c r="M16" s="20">
        <f ca="1">IFERROR(__xludf.DUMMYFUNCTION("+L16*$D16"),0)</f>
        <v>0</v>
      </c>
      <c r="O16" s="20"/>
      <c r="P16" s="20"/>
      <c r="Q16" s="20">
        <f ca="1">IFERROR(__xludf.DUMMYFUNCTION("+O16+P16"),0)</f>
        <v>0</v>
      </c>
      <c r="R16" s="20">
        <f ca="1">IFERROR(__xludf.DUMMYFUNCTION("+Q16*$D16"),0)</f>
        <v>0</v>
      </c>
      <c r="T16" s="20"/>
      <c r="U16" s="20"/>
      <c r="V16" s="20">
        <f ca="1">IFERROR(__xludf.DUMMYFUNCTION("+T16+U16"),0)</f>
        <v>0</v>
      </c>
      <c r="W16" s="20">
        <f ca="1">IFERROR(__xludf.DUMMYFUNCTION("+V16*$D16"),0)</f>
        <v>0</v>
      </c>
      <c r="Y16" s="20"/>
      <c r="Z16" s="20"/>
      <c r="AA16" s="20">
        <f ca="1">IFERROR(__xludf.DUMMYFUNCTION("+Y16+Z16"),0)</f>
        <v>0</v>
      </c>
      <c r="AB16" s="20">
        <f ca="1">IFERROR(__xludf.DUMMYFUNCTION("+AA16*$D16"),0)</f>
        <v>0</v>
      </c>
      <c r="AD16" s="20"/>
      <c r="AE16" s="20"/>
      <c r="AF16" s="20">
        <f ca="1">IFERROR(__xludf.DUMMYFUNCTION("+AD16+AE16"),0)</f>
        <v>0</v>
      </c>
      <c r="AG16" s="20">
        <f ca="1">IFERROR(__xludf.DUMMYFUNCTION("+AF16*$D16"),0)</f>
        <v>0</v>
      </c>
      <c r="AI16" s="20"/>
      <c r="AJ16" s="20"/>
      <c r="AK16" s="20">
        <f ca="1">IFERROR(__xludf.DUMMYFUNCTION("+AI16+AJ16"),0)</f>
        <v>0</v>
      </c>
      <c r="AL16" s="20">
        <f ca="1">IFERROR(__xludf.DUMMYFUNCTION("+AK16*$D16"),0)</f>
        <v>0</v>
      </c>
      <c r="AM16" s="28"/>
      <c r="AN16" s="20"/>
      <c r="AO16" s="20"/>
      <c r="AP16" s="20">
        <f ca="1">IFERROR(__xludf.DUMMYFUNCTION("+AN16+AO16"),0)</f>
        <v>0</v>
      </c>
      <c r="AQ16" s="20">
        <f ca="1">IFERROR(__xludf.DUMMYFUNCTION("+AP16*$D16"),0)</f>
        <v>0</v>
      </c>
      <c r="AS16" s="20"/>
      <c r="AT16" s="20"/>
      <c r="AU16" s="20">
        <f ca="1">IFERROR(__xludf.DUMMYFUNCTION("+AS16+AT16"),0)</f>
        <v>0</v>
      </c>
      <c r="AV16" s="20">
        <f ca="1">IFERROR(__xludf.DUMMYFUNCTION("+AU16*$D16"),0)</f>
        <v>0</v>
      </c>
      <c r="AX16" s="20"/>
      <c r="AY16" s="20"/>
      <c r="AZ16" s="20">
        <f ca="1">IFERROR(__xludf.DUMMYFUNCTION("+AX16+AY16"),0)</f>
        <v>0</v>
      </c>
      <c r="BA16" s="20">
        <f ca="1">IFERROR(__xludf.DUMMYFUNCTION("+AZ16*$D16"),0)</f>
        <v>0</v>
      </c>
      <c r="BC16" s="20"/>
      <c r="BD16" s="20"/>
      <c r="BE16" s="20">
        <f ca="1">IFERROR(__xludf.DUMMYFUNCTION("+BC16+BD16"),0)</f>
        <v>0</v>
      </c>
      <c r="BF16" s="20">
        <f ca="1">IFERROR(__xludf.DUMMYFUNCTION("+BE16*$D16"),0)</f>
        <v>0</v>
      </c>
      <c r="BH16" s="20"/>
      <c r="BI16" s="20"/>
      <c r="BJ16" s="20">
        <f ca="1">IFERROR(__xludf.DUMMYFUNCTION("+BH16+BI16"),0)</f>
        <v>0</v>
      </c>
      <c r="BK16" s="20">
        <f ca="1">IFERROR(__xludf.DUMMYFUNCTION("+BJ16*$D16"),0)</f>
        <v>0</v>
      </c>
      <c r="BM16" s="123">
        <v>25000</v>
      </c>
      <c r="BN16" s="124"/>
      <c r="BO16" s="124">
        <f t="shared" si="12"/>
        <v>25000</v>
      </c>
      <c r="BP16" s="124">
        <f t="shared" ca="1" si="13"/>
        <v>20000000</v>
      </c>
      <c r="BR16" s="123">
        <v>28000</v>
      </c>
      <c r="BS16" s="124"/>
      <c r="BT16" s="124">
        <f t="shared" si="14"/>
        <v>28000</v>
      </c>
      <c r="BU16" s="124">
        <f t="shared" ca="1" si="9"/>
        <v>22400000</v>
      </c>
      <c r="BW16" s="221">
        <v>21000</v>
      </c>
      <c r="BX16" s="124"/>
      <c r="BY16" s="124">
        <f t="shared" si="15"/>
        <v>21000</v>
      </c>
      <c r="BZ16" s="124">
        <f t="shared" si="10"/>
        <v>0</v>
      </c>
      <c r="CB16" s="128">
        <v>26449.999999999996</v>
      </c>
      <c r="CC16" s="124"/>
      <c r="CD16" s="124">
        <f t="shared" si="16"/>
        <v>26449.999999999996</v>
      </c>
      <c r="CE16" s="124">
        <f t="shared" ca="1" si="11"/>
        <v>21159999.999999996</v>
      </c>
      <c r="CG16" s="123"/>
      <c r="CH16" s="124"/>
      <c r="CI16" s="124"/>
      <c r="CJ16" s="124"/>
      <c r="CL16" s="123"/>
      <c r="CM16" s="124"/>
      <c r="CN16" s="124"/>
      <c r="CO16" s="124"/>
      <c r="CQ16" s="138">
        <f>AVERAGE(BO16,BT16,BY16,CD16)</f>
        <v>25112.5</v>
      </c>
    </row>
    <row r="17" spans="1:96" x14ac:dyDescent="0.2">
      <c r="A17" s="130" t="s">
        <v>196</v>
      </c>
      <c r="B17" s="131" t="s">
        <v>199</v>
      </c>
      <c r="C17" s="132">
        <v>1</v>
      </c>
      <c r="D17" s="16">
        <v>80</v>
      </c>
      <c r="E17" s="127">
        <v>80000</v>
      </c>
      <c r="F17" s="31">
        <f>E17*C17</f>
        <v>80000</v>
      </c>
      <c r="G17" s="18">
        <f>E17*D17</f>
        <v>6400000</v>
      </c>
      <c r="H17" s="125"/>
      <c r="J17" s="20"/>
      <c r="K17" s="20"/>
      <c r="L17" s="20"/>
      <c r="M17" s="20"/>
      <c r="O17" s="20"/>
      <c r="P17" s="20"/>
      <c r="Q17" s="20"/>
      <c r="R17" s="20"/>
      <c r="T17" s="20"/>
      <c r="U17" s="20"/>
      <c r="V17" s="20"/>
      <c r="W17" s="20"/>
      <c r="Y17" s="20"/>
      <c r="Z17" s="20"/>
      <c r="AA17" s="20"/>
      <c r="AB17" s="20"/>
      <c r="AD17" s="20"/>
      <c r="AE17" s="20"/>
      <c r="AF17" s="20"/>
      <c r="AG17" s="20"/>
      <c r="AI17" s="20"/>
      <c r="AJ17" s="20"/>
      <c r="AK17" s="20"/>
      <c r="AL17" s="20"/>
      <c r="AM17" s="28"/>
      <c r="AN17" s="20"/>
      <c r="AO17" s="20"/>
      <c r="AP17" s="20"/>
      <c r="AQ17" s="20"/>
      <c r="AS17" s="20"/>
      <c r="AT17" s="20"/>
      <c r="AU17" s="20"/>
      <c r="AV17" s="20"/>
      <c r="AX17" s="20"/>
      <c r="AY17" s="20"/>
      <c r="AZ17" s="20"/>
      <c r="BA17" s="20"/>
      <c r="BC17" s="20"/>
      <c r="BD17" s="20"/>
      <c r="BE17" s="20"/>
      <c r="BF17" s="20"/>
      <c r="BH17" s="20"/>
      <c r="BI17" s="20"/>
      <c r="BJ17" s="20"/>
      <c r="BK17" s="20"/>
      <c r="BM17" s="123">
        <v>55000</v>
      </c>
      <c r="BN17" s="124"/>
      <c r="BO17" s="124">
        <f t="shared" si="12"/>
        <v>55000</v>
      </c>
      <c r="BP17" s="124">
        <f t="shared" si="13"/>
        <v>4400000</v>
      </c>
      <c r="BR17" s="123">
        <v>45000</v>
      </c>
      <c r="BS17" s="124"/>
      <c r="BT17" s="124">
        <f t="shared" si="14"/>
        <v>45000</v>
      </c>
      <c r="BU17" s="124">
        <f t="shared" si="9"/>
        <v>3600000</v>
      </c>
      <c r="BW17" s="123">
        <v>31000</v>
      </c>
      <c r="BX17" s="124"/>
      <c r="BY17" s="124">
        <f t="shared" si="15"/>
        <v>31000</v>
      </c>
      <c r="BZ17" s="124">
        <f t="shared" si="10"/>
        <v>0</v>
      </c>
      <c r="CB17" s="127">
        <v>51749.999999999993</v>
      </c>
      <c r="CC17" s="124"/>
      <c r="CD17" s="124">
        <f t="shared" si="16"/>
        <v>51749.999999999993</v>
      </c>
      <c r="CE17" s="124">
        <f t="shared" si="11"/>
        <v>4139999.9999999995</v>
      </c>
      <c r="CG17" s="123"/>
      <c r="CH17" s="124"/>
      <c r="CI17" s="124"/>
      <c r="CJ17" s="124"/>
      <c r="CL17" s="123"/>
      <c r="CM17" s="124"/>
      <c r="CN17" s="124"/>
      <c r="CO17" s="124"/>
      <c r="CQ17" s="138">
        <f>AVERAGE(BO17,BT17,BY17,CD17)</f>
        <v>45687.5</v>
      </c>
    </row>
    <row r="18" spans="1:96" x14ac:dyDescent="0.2">
      <c r="A18" s="130" t="s">
        <v>197</v>
      </c>
      <c r="B18" s="131" t="s">
        <v>200</v>
      </c>
      <c r="C18" s="132">
        <v>1</v>
      </c>
      <c r="D18" s="16">
        <v>80</v>
      </c>
      <c r="E18" s="127">
        <v>60000</v>
      </c>
      <c r="F18" s="31">
        <f t="shared" ref="F18:F19" si="18">E18*C18</f>
        <v>60000</v>
      </c>
      <c r="G18" s="18">
        <f>E18*D18</f>
        <v>4800000</v>
      </c>
      <c r="H18" s="125"/>
      <c r="J18" s="20"/>
      <c r="K18" s="20"/>
      <c r="L18" s="20"/>
      <c r="M18" s="20"/>
      <c r="O18" s="20"/>
      <c r="P18" s="20"/>
      <c r="Q18" s="20"/>
      <c r="R18" s="20"/>
      <c r="T18" s="20"/>
      <c r="U18" s="20"/>
      <c r="V18" s="20"/>
      <c r="W18" s="20"/>
      <c r="Y18" s="20"/>
      <c r="Z18" s="20"/>
      <c r="AA18" s="20"/>
      <c r="AB18" s="20"/>
      <c r="AD18" s="20"/>
      <c r="AE18" s="20"/>
      <c r="AF18" s="20"/>
      <c r="AG18" s="20"/>
      <c r="AI18" s="20"/>
      <c r="AJ18" s="20"/>
      <c r="AK18" s="20"/>
      <c r="AL18" s="20"/>
      <c r="AM18" s="28"/>
      <c r="AN18" s="20"/>
      <c r="AO18" s="20"/>
      <c r="AP18" s="20"/>
      <c r="AQ18" s="20"/>
      <c r="AS18" s="20"/>
      <c r="AT18" s="20"/>
      <c r="AU18" s="20"/>
      <c r="AV18" s="20"/>
      <c r="AX18" s="20"/>
      <c r="AY18" s="20"/>
      <c r="AZ18" s="20"/>
      <c r="BA18" s="20"/>
      <c r="BC18" s="20"/>
      <c r="BD18" s="20"/>
      <c r="BE18" s="20"/>
      <c r="BF18" s="20"/>
      <c r="BH18" s="20"/>
      <c r="BI18" s="20"/>
      <c r="BJ18" s="20"/>
      <c r="BK18" s="20"/>
      <c r="BM18" s="123">
        <v>45000</v>
      </c>
      <c r="BN18" s="124"/>
      <c r="BO18" s="124">
        <f t="shared" si="12"/>
        <v>45000</v>
      </c>
      <c r="BP18" s="124">
        <f t="shared" si="13"/>
        <v>3600000</v>
      </c>
      <c r="BR18" s="123">
        <v>30000</v>
      </c>
      <c r="BS18" s="124"/>
      <c r="BT18" s="124">
        <f t="shared" si="14"/>
        <v>30000</v>
      </c>
      <c r="BU18" s="124">
        <f t="shared" si="9"/>
        <v>2400000</v>
      </c>
      <c r="BW18" s="123">
        <v>42000</v>
      </c>
      <c r="BX18" s="124"/>
      <c r="BY18" s="124">
        <f t="shared" si="15"/>
        <v>42000</v>
      </c>
      <c r="BZ18" s="124">
        <f t="shared" si="10"/>
        <v>0</v>
      </c>
      <c r="CB18" s="127">
        <v>37950</v>
      </c>
      <c r="CC18" s="124"/>
      <c r="CD18" s="124">
        <f t="shared" si="16"/>
        <v>37950</v>
      </c>
      <c r="CE18" s="124">
        <f t="shared" si="11"/>
        <v>3036000</v>
      </c>
      <c r="CG18" s="123"/>
      <c r="CH18" s="124"/>
      <c r="CI18" s="124"/>
      <c r="CJ18" s="124"/>
      <c r="CL18" s="123"/>
      <c r="CM18" s="124"/>
      <c r="CN18" s="124"/>
      <c r="CO18" s="124"/>
      <c r="CQ18" s="138">
        <f>AVERAGE(BO18,BT18,BY18,CD18)</f>
        <v>38737.5</v>
      </c>
    </row>
    <row r="19" spans="1:96" x14ac:dyDescent="0.2">
      <c r="A19" s="130" t="s">
        <v>198</v>
      </c>
      <c r="B19" s="133" t="s">
        <v>201</v>
      </c>
      <c r="C19" s="134">
        <v>1</v>
      </c>
      <c r="D19" s="16">
        <f ca="1">IFERROR(__xludf.DUMMYFUNCTION("+C17*$B$2"),80)</f>
        <v>80</v>
      </c>
      <c r="E19" s="127">
        <v>10000</v>
      </c>
      <c r="F19" s="31">
        <f t="shared" si="18"/>
        <v>10000</v>
      </c>
      <c r="G19" s="18">
        <f ca="1">E19*D19</f>
        <v>800000</v>
      </c>
      <c r="H19" s="32"/>
      <c r="J19" s="20"/>
      <c r="K19" s="20"/>
      <c r="L19" s="20">
        <f ca="1">IFERROR(__xludf.DUMMYFUNCTION("+J17+K17"),0)</f>
        <v>0</v>
      </c>
      <c r="M19" s="20">
        <f ca="1">IFERROR(__xludf.DUMMYFUNCTION("+L17*$D17"),0)</f>
        <v>0</v>
      </c>
      <c r="O19" s="20"/>
      <c r="P19" s="20"/>
      <c r="Q19" s="20">
        <f ca="1">IFERROR(__xludf.DUMMYFUNCTION("+O17+P17"),0)</f>
        <v>0</v>
      </c>
      <c r="R19" s="20">
        <f ca="1">IFERROR(__xludf.DUMMYFUNCTION("+Q17*$D17"),0)</f>
        <v>0</v>
      </c>
      <c r="T19" s="20"/>
      <c r="U19" s="20"/>
      <c r="V19" s="20">
        <f ca="1">IFERROR(__xludf.DUMMYFUNCTION("+T17+U17"),0)</f>
        <v>0</v>
      </c>
      <c r="W19" s="20">
        <f ca="1">IFERROR(__xludf.DUMMYFUNCTION("+V17*$D17"),0)</f>
        <v>0</v>
      </c>
      <c r="Y19" s="20"/>
      <c r="Z19" s="20"/>
      <c r="AA19" s="20">
        <f ca="1">IFERROR(__xludf.DUMMYFUNCTION("+Y17+Z17"),0)</f>
        <v>0</v>
      </c>
      <c r="AB19" s="20">
        <f ca="1">IFERROR(__xludf.DUMMYFUNCTION("+AA17*$D17"),0)</f>
        <v>0</v>
      </c>
      <c r="AD19" s="20"/>
      <c r="AE19" s="20"/>
      <c r="AF19" s="20">
        <f ca="1">IFERROR(__xludf.DUMMYFUNCTION("+AD17+AE17"),0)</f>
        <v>0</v>
      </c>
      <c r="AG19" s="20">
        <f ca="1">IFERROR(__xludf.DUMMYFUNCTION("+AF17*$D17"),0)</f>
        <v>0</v>
      </c>
      <c r="AI19" s="20"/>
      <c r="AJ19" s="20"/>
      <c r="AK19" s="20">
        <f ca="1">IFERROR(__xludf.DUMMYFUNCTION("+AI17+AJ17"),0)</f>
        <v>0</v>
      </c>
      <c r="AL19" s="20">
        <f ca="1">IFERROR(__xludf.DUMMYFUNCTION("+AK17*$D17"),0)</f>
        <v>0</v>
      </c>
      <c r="AM19" s="28"/>
      <c r="AN19" s="20"/>
      <c r="AO19" s="20"/>
      <c r="AP19" s="20">
        <f ca="1">IFERROR(__xludf.DUMMYFUNCTION("+AN17+AO17"),0)</f>
        <v>0</v>
      </c>
      <c r="AQ19" s="20">
        <f ca="1">IFERROR(__xludf.DUMMYFUNCTION("+AP17*$D17"),0)</f>
        <v>0</v>
      </c>
      <c r="AS19" s="20"/>
      <c r="AT19" s="20"/>
      <c r="AU19" s="20">
        <f ca="1">IFERROR(__xludf.DUMMYFUNCTION("+AS17+AT17"),0)</f>
        <v>0</v>
      </c>
      <c r="AV19" s="20">
        <f ca="1">IFERROR(__xludf.DUMMYFUNCTION("+AU17*$D17"),0)</f>
        <v>0</v>
      </c>
      <c r="AX19" s="20"/>
      <c r="AY19" s="20"/>
      <c r="AZ19" s="20">
        <f ca="1">IFERROR(__xludf.DUMMYFUNCTION("+AX17+AY17"),0)</f>
        <v>0</v>
      </c>
      <c r="BA19" s="20">
        <f ca="1">IFERROR(__xludf.DUMMYFUNCTION("+AZ17*$D17"),0)</f>
        <v>0</v>
      </c>
      <c r="BC19" s="20"/>
      <c r="BD19" s="20"/>
      <c r="BE19" s="20">
        <f ca="1">IFERROR(__xludf.DUMMYFUNCTION("+BC17+BD17"),0)</f>
        <v>0</v>
      </c>
      <c r="BF19" s="20">
        <f ca="1">IFERROR(__xludf.DUMMYFUNCTION("+BE17*$D17"),0)</f>
        <v>0</v>
      </c>
      <c r="BH19" s="20"/>
      <c r="BI19" s="20"/>
      <c r="BJ19" s="20">
        <f ca="1">IFERROR(__xludf.DUMMYFUNCTION("+BH17+BI17"),0)</f>
        <v>0</v>
      </c>
      <c r="BK19" s="20">
        <f ca="1">IFERROR(__xludf.DUMMYFUNCTION("+BJ17*$D17"),0)</f>
        <v>0</v>
      </c>
      <c r="BM19" s="123">
        <v>10000</v>
      </c>
      <c r="BN19" s="124"/>
      <c r="BO19" s="124">
        <f t="shared" si="12"/>
        <v>10000</v>
      </c>
      <c r="BP19" s="124">
        <f t="shared" ca="1" si="13"/>
        <v>800000</v>
      </c>
      <c r="BR19" s="123">
        <v>10000</v>
      </c>
      <c r="BS19" s="124"/>
      <c r="BT19" s="124">
        <f t="shared" si="14"/>
        <v>10000</v>
      </c>
      <c r="BU19" s="124">
        <f t="shared" ca="1" si="9"/>
        <v>800000</v>
      </c>
      <c r="BW19" s="123">
        <v>12000</v>
      </c>
      <c r="BX19" s="124"/>
      <c r="BY19" s="124">
        <f t="shared" si="15"/>
        <v>12000</v>
      </c>
      <c r="BZ19" s="124">
        <f t="shared" si="10"/>
        <v>0</v>
      </c>
      <c r="CB19" s="127">
        <v>6324.9999999999991</v>
      </c>
      <c r="CC19" s="124"/>
      <c r="CD19" s="124">
        <f t="shared" si="16"/>
        <v>6324.9999999999991</v>
      </c>
      <c r="CE19" s="124">
        <f t="shared" ca="1" si="11"/>
        <v>505999.99999999994</v>
      </c>
      <c r="CG19" s="123"/>
      <c r="CH19" s="124"/>
      <c r="CI19" s="124"/>
      <c r="CJ19" s="124"/>
      <c r="CL19" s="123"/>
      <c r="CM19" s="124"/>
      <c r="CN19" s="124"/>
      <c r="CO19" s="124"/>
      <c r="CQ19" s="138">
        <f t="shared" ref="CQ19" si="19">AVERAGE(BO19,BT19,BY19,CD19)</f>
        <v>9581.25</v>
      </c>
    </row>
    <row r="20" spans="1:96" x14ac:dyDescent="0.2">
      <c r="A20" s="272" t="s">
        <v>32</v>
      </c>
      <c r="B20" s="273"/>
      <c r="C20" s="273"/>
      <c r="D20" s="273"/>
      <c r="E20" s="273"/>
      <c r="F20" s="273"/>
      <c r="G20" s="273"/>
      <c r="H20" s="274"/>
      <c r="J20" s="10"/>
      <c r="K20" s="11"/>
      <c r="L20" s="11"/>
      <c r="M20" s="12"/>
      <c r="O20" s="10"/>
      <c r="P20" s="11"/>
      <c r="Q20" s="11"/>
      <c r="R20" s="12"/>
      <c r="T20" s="10"/>
      <c r="U20" s="11"/>
      <c r="V20" s="11"/>
      <c r="W20" s="12"/>
      <c r="Y20" s="10"/>
      <c r="Z20" s="11"/>
      <c r="AA20" s="11"/>
      <c r="AB20" s="12"/>
      <c r="AD20" s="10"/>
      <c r="AE20" s="11"/>
      <c r="AF20" s="11"/>
      <c r="AG20" s="12"/>
      <c r="AI20" s="10"/>
      <c r="AJ20" s="11"/>
      <c r="AK20" s="11"/>
      <c r="AL20" s="12"/>
      <c r="AM20" s="13"/>
      <c r="AN20" s="10"/>
      <c r="AO20" s="11"/>
      <c r="AP20" s="11"/>
      <c r="AQ20" s="12"/>
      <c r="AS20" s="10"/>
      <c r="AT20" s="11"/>
      <c r="AU20" s="11"/>
      <c r="AV20" s="12"/>
      <c r="AX20" s="10"/>
      <c r="AY20" s="11"/>
      <c r="AZ20" s="11"/>
      <c r="BA20" s="12"/>
      <c r="BC20" s="10"/>
      <c r="BD20" s="11"/>
      <c r="BE20" s="11"/>
      <c r="BF20" s="12"/>
      <c r="BH20" s="10"/>
      <c r="BI20" s="11"/>
      <c r="BJ20" s="11"/>
      <c r="BK20" s="12"/>
      <c r="BM20" s="10"/>
      <c r="BN20" s="11"/>
      <c r="BO20" s="11"/>
      <c r="BP20" s="12"/>
      <c r="BR20" s="10"/>
      <c r="BS20" s="11"/>
      <c r="BT20" s="11"/>
      <c r="BU20" s="12"/>
      <c r="BW20" s="10"/>
      <c r="BX20" s="11"/>
      <c r="BY20" s="11"/>
      <c r="BZ20" s="12"/>
      <c r="CB20" s="10"/>
      <c r="CC20" s="11"/>
      <c r="CD20" s="11"/>
      <c r="CE20" s="12"/>
      <c r="CG20" s="10"/>
      <c r="CH20" s="11"/>
      <c r="CI20" s="11"/>
      <c r="CJ20" s="12"/>
      <c r="CL20" s="10"/>
      <c r="CM20" s="11"/>
      <c r="CN20" s="11"/>
      <c r="CO20" s="12"/>
      <c r="CQ20" s="142"/>
    </row>
    <row r="21" spans="1:96" x14ac:dyDescent="0.2">
      <c r="A21" s="33" t="s">
        <v>33</v>
      </c>
      <c r="B21" s="34" t="s">
        <v>34</v>
      </c>
      <c r="C21" s="35">
        <v>2</v>
      </c>
      <c r="D21" s="16">
        <f ca="1">IFERROR(__xludf.DUMMYFUNCTION("+C19*$B$2"),160)</f>
        <v>160</v>
      </c>
      <c r="E21" s="36">
        <v>60000</v>
      </c>
      <c r="F21" s="37">
        <f ca="1">IFERROR(__xludf.DUMMYFUNCTION("+E19*C19"),120000)</f>
        <v>120000</v>
      </c>
      <c r="G21" s="18">
        <f ca="1">IFERROR(__xludf.DUMMYFUNCTION("+E19*D19"),9600000)</f>
        <v>9600000</v>
      </c>
      <c r="H21" s="38"/>
      <c r="J21" s="20"/>
      <c r="K21" s="20"/>
      <c r="L21" s="20">
        <f ca="1">IFERROR(__xludf.DUMMYFUNCTION("+J19+K19"),0)</f>
        <v>0</v>
      </c>
      <c r="M21" s="20">
        <f ca="1">IFERROR(__xludf.DUMMYFUNCTION("+L19*$D19"),0)</f>
        <v>0</v>
      </c>
      <c r="O21" s="20"/>
      <c r="P21" s="20"/>
      <c r="Q21" s="20">
        <f ca="1">IFERROR(__xludf.DUMMYFUNCTION("+O19+P19"),0)</f>
        <v>0</v>
      </c>
      <c r="R21" s="20">
        <f ca="1">IFERROR(__xludf.DUMMYFUNCTION("+Q19*$D19"),0)</f>
        <v>0</v>
      </c>
      <c r="T21" s="20"/>
      <c r="U21" s="20"/>
      <c r="V21" s="20">
        <f ca="1">IFERROR(__xludf.DUMMYFUNCTION("+T19+U19"),0)</f>
        <v>0</v>
      </c>
      <c r="W21" s="20">
        <f ca="1">IFERROR(__xludf.DUMMYFUNCTION("+V19*$D19"),0)</f>
        <v>0</v>
      </c>
      <c r="Y21" s="20"/>
      <c r="Z21" s="20"/>
      <c r="AA21" s="20">
        <f ca="1">IFERROR(__xludf.DUMMYFUNCTION("+Y19+Z19"),0)</f>
        <v>0</v>
      </c>
      <c r="AB21" s="20">
        <f ca="1">IFERROR(__xludf.DUMMYFUNCTION("+AA19*$D19"),0)</f>
        <v>0</v>
      </c>
      <c r="AD21" s="20"/>
      <c r="AE21" s="20"/>
      <c r="AF21" s="20">
        <f ca="1">IFERROR(__xludf.DUMMYFUNCTION("+AD19+AE19"),0)</f>
        <v>0</v>
      </c>
      <c r="AG21" s="20">
        <f ca="1">IFERROR(__xludf.DUMMYFUNCTION("+AF19*$D19"),0)</f>
        <v>0</v>
      </c>
      <c r="AI21" s="20"/>
      <c r="AJ21" s="20"/>
      <c r="AK21" s="20">
        <f ca="1">IFERROR(__xludf.DUMMYFUNCTION("+AI19+AJ19"),0)</f>
        <v>0</v>
      </c>
      <c r="AL21" s="20">
        <f ca="1">IFERROR(__xludf.DUMMYFUNCTION("+AK19*$D19"),0)</f>
        <v>0</v>
      </c>
      <c r="AN21" s="20"/>
      <c r="AO21" s="20"/>
      <c r="AP21" s="20">
        <f ca="1">IFERROR(__xludf.DUMMYFUNCTION("+AN19+AO19"),0)</f>
        <v>0</v>
      </c>
      <c r="AQ21" s="20">
        <f ca="1">IFERROR(__xludf.DUMMYFUNCTION("+AP19*$D19"),0)</f>
        <v>0</v>
      </c>
      <c r="AS21" s="20"/>
      <c r="AT21" s="20"/>
      <c r="AU21" s="20">
        <f ca="1">IFERROR(__xludf.DUMMYFUNCTION("+AS19+AT19"),0)</f>
        <v>0</v>
      </c>
      <c r="AV21" s="20">
        <f ca="1">IFERROR(__xludf.DUMMYFUNCTION("+AU19*$D19"),0)</f>
        <v>0</v>
      </c>
      <c r="AX21" s="20"/>
      <c r="AY21" s="20"/>
      <c r="AZ21" s="20">
        <f ca="1">IFERROR(__xludf.DUMMYFUNCTION("+AX19+AY19"),0)</f>
        <v>0</v>
      </c>
      <c r="BA21" s="20">
        <f ca="1">IFERROR(__xludf.DUMMYFUNCTION("+AZ19*$D19"),0)</f>
        <v>0</v>
      </c>
      <c r="BC21" s="20"/>
      <c r="BD21" s="20"/>
      <c r="BE21" s="20">
        <f ca="1">IFERROR(__xludf.DUMMYFUNCTION("+BC19+BD19"),0)</f>
        <v>0</v>
      </c>
      <c r="BF21" s="20">
        <f ca="1">IFERROR(__xludf.DUMMYFUNCTION("+BE19*$D19"),0)</f>
        <v>0</v>
      </c>
      <c r="BH21" s="20"/>
      <c r="BI21" s="20"/>
      <c r="BJ21" s="20">
        <f ca="1">IFERROR(__xludf.DUMMYFUNCTION("+BH19+BI19"),0)</f>
        <v>0</v>
      </c>
      <c r="BK21" s="20">
        <f ca="1">IFERROR(__xludf.DUMMYFUNCTION("+BJ19*$D19"),0)</f>
        <v>0</v>
      </c>
      <c r="BM21" s="20">
        <v>60000</v>
      </c>
      <c r="BN21" s="20">
        <f>BM21*0.19</f>
        <v>11400</v>
      </c>
      <c r="BO21" s="20">
        <f>BM21+BN21</f>
        <v>71400</v>
      </c>
      <c r="BP21" s="20">
        <f ca="1">BO21*D21</f>
        <v>11424000</v>
      </c>
      <c r="BR21" s="20">
        <v>60000</v>
      </c>
      <c r="BS21" s="20">
        <f>BR21*0.19</f>
        <v>11400</v>
      </c>
      <c r="BT21" s="20">
        <f>BR21+BS21</f>
        <v>71400</v>
      </c>
      <c r="BU21" s="20">
        <f t="shared" ref="BU21:BU45" ca="1" si="20">BT21*D21</f>
        <v>11424000</v>
      </c>
      <c r="BW21" s="20">
        <f>BM21</f>
        <v>60000</v>
      </c>
      <c r="BX21" s="20">
        <f>BW21*0.19</f>
        <v>11400</v>
      </c>
      <c r="BY21" s="20">
        <f>BW21+BX21</f>
        <v>71400</v>
      </c>
      <c r="BZ21" s="20">
        <f ca="1">BY21*D21</f>
        <v>11424000</v>
      </c>
      <c r="CB21" s="20">
        <v>60000</v>
      </c>
      <c r="CC21" s="20">
        <f>CB21*0.19</f>
        <v>11400</v>
      </c>
      <c r="CD21" s="20">
        <f>CB21+CC21</f>
        <v>71400</v>
      </c>
      <c r="CE21" s="20">
        <f t="shared" ref="CE21:CE45" ca="1" si="21">CD21*D21</f>
        <v>11424000</v>
      </c>
      <c r="CG21" s="20"/>
      <c r="CH21" s="20"/>
      <c r="CI21" s="20"/>
      <c r="CJ21" s="20"/>
      <c r="CL21" s="20"/>
      <c r="CM21" s="20"/>
      <c r="CN21" s="20"/>
      <c r="CO21" s="20"/>
      <c r="CP21" s="126"/>
      <c r="CQ21" s="138">
        <f>AVERAGE(BO21,BT21,BY21,CD21)</f>
        <v>71400</v>
      </c>
      <c r="CR21" s="126"/>
    </row>
    <row r="22" spans="1:96" ht="15.75" customHeight="1" x14ac:dyDescent="0.2">
      <c r="A22" s="39" t="s">
        <v>35</v>
      </c>
      <c r="B22" s="34" t="s">
        <v>34</v>
      </c>
      <c r="C22" s="35">
        <v>2</v>
      </c>
      <c r="D22" s="16">
        <f ca="1">IFERROR(__xludf.DUMMYFUNCTION("+C20*$B$2"),160)</f>
        <v>160</v>
      </c>
      <c r="E22" s="36">
        <v>140000</v>
      </c>
      <c r="F22" s="37">
        <f ca="1">IFERROR(__xludf.DUMMYFUNCTION("+E20*C20"),280000)</f>
        <v>280000</v>
      </c>
      <c r="G22" s="18">
        <f ca="1">IFERROR(__xludf.DUMMYFUNCTION("+E20*D20"),22400000)</f>
        <v>22400000</v>
      </c>
      <c r="H22" s="38"/>
      <c r="J22" s="20"/>
      <c r="K22" s="20"/>
      <c r="L22" s="20">
        <f ca="1">IFERROR(__xludf.DUMMYFUNCTION("+J20+K20"),0)</f>
        <v>0</v>
      </c>
      <c r="M22" s="20">
        <f ca="1">IFERROR(__xludf.DUMMYFUNCTION("+L20*$D20"),0)</f>
        <v>0</v>
      </c>
      <c r="O22" s="20"/>
      <c r="P22" s="20"/>
      <c r="Q22" s="20">
        <f ca="1">IFERROR(__xludf.DUMMYFUNCTION("+O20+P20"),0)</f>
        <v>0</v>
      </c>
      <c r="R22" s="20">
        <f ca="1">IFERROR(__xludf.DUMMYFUNCTION("+Q20*$D20"),0)</f>
        <v>0</v>
      </c>
      <c r="T22" s="20"/>
      <c r="U22" s="20"/>
      <c r="V22" s="20">
        <f ca="1">IFERROR(__xludf.DUMMYFUNCTION("+T20+U20"),0)</f>
        <v>0</v>
      </c>
      <c r="W22" s="20">
        <f ca="1">IFERROR(__xludf.DUMMYFUNCTION("+V20*$D20"),0)</f>
        <v>0</v>
      </c>
      <c r="Y22" s="20"/>
      <c r="Z22" s="20"/>
      <c r="AA22" s="20">
        <f ca="1">IFERROR(__xludf.DUMMYFUNCTION("+Y20+Z20"),0)</f>
        <v>0</v>
      </c>
      <c r="AB22" s="20">
        <f ca="1">IFERROR(__xludf.DUMMYFUNCTION("+AA20*$D20"),0)</f>
        <v>0</v>
      </c>
      <c r="AD22" s="20"/>
      <c r="AE22" s="20"/>
      <c r="AF22" s="20">
        <f ca="1">IFERROR(__xludf.DUMMYFUNCTION("+AD20+AE20"),0)</f>
        <v>0</v>
      </c>
      <c r="AG22" s="20">
        <f ca="1">IFERROR(__xludf.DUMMYFUNCTION("+AF20*$D20"),0)</f>
        <v>0</v>
      </c>
      <c r="AI22" s="20"/>
      <c r="AJ22" s="20"/>
      <c r="AK22" s="20">
        <f ca="1">IFERROR(__xludf.DUMMYFUNCTION("+AI20+AJ20"),0)</f>
        <v>0</v>
      </c>
      <c r="AL22" s="20">
        <f ca="1">IFERROR(__xludf.DUMMYFUNCTION("+AK20*$D20"),0)</f>
        <v>0</v>
      </c>
      <c r="AN22" s="20"/>
      <c r="AO22" s="20"/>
      <c r="AP22" s="20">
        <f ca="1">IFERROR(__xludf.DUMMYFUNCTION("+AN20+AO20"),0)</f>
        <v>0</v>
      </c>
      <c r="AQ22" s="20">
        <f ca="1">IFERROR(__xludf.DUMMYFUNCTION("+AP20*$D20"),0)</f>
        <v>0</v>
      </c>
      <c r="AS22" s="20"/>
      <c r="AT22" s="20"/>
      <c r="AU22" s="20">
        <f ca="1">IFERROR(__xludf.DUMMYFUNCTION("+AS20+AT20"),0)</f>
        <v>0</v>
      </c>
      <c r="AV22" s="20">
        <f ca="1">IFERROR(__xludf.DUMMYFUNCTION("+AU20*$D20"),0)</f>
        <v>0</v>
      </c>
      <c r="AX22" s="20"/>
      <c r="AY22" s="20"/>
      <c r="AZ22" s="20">
        <f ca="1">IFERROR(__xludf.DUMMYFUNCTION("+AX20+AY20"),0)</f>
        <v>0</v>
      </c>
      <c r="BA22" s="20">
        <f ca="1">IFERROR(__xludf.DUMMYFUNCTION("+AZ20*$D20"),0)</f>
        <v>0</v>
      </c>
      <c r="BC22" s="20"/>
      <c r="BD22" s="20"/>
      <c r="BE22" s="20">
        <f ca="1">IFERROR(__xludf.DUMMYFUNCTION("+BC20+BD20"),0)</f>
        <v>0</v>
      </c>
      <c r="BF22" s="20">
        <f ca="1">IFERROR(__xludf.DUMMYFUNCTION("+BE20*$D20"),0)</f>
        <v>0</v>
      </c>
      <c r="BH22" s="20"/>
      <c r="BI22" s="20"/>
      <c r="BJ22" s="20">
        <f ca="1">IFERROR(__xludf.DUMMYFUNCTION("+BH20+BI20"),0)</f>
        <v>0</v>
      </c>
      <c r="BK22" s="20">
        <f ca="1">IFERROR(__xludf.DUMMYFUNCTION("+BJ20*$D20"),0)</f>
        <v>0</v>
      </c>
      <c r="BM22" s="20">
        <v>140000</v>
      </c>
      <c r="BN22" s="20">
        <f t="shared" ref="BN22:BN45" si="22">BM22*0.19</f>
        <v>26600</v>
      </c>
      <c r="BO22" s="20">
        <f t="shared" ref="BO22:BO45" si="23">BM22+BN22</f>
        <v>166600</v>
      </c>
      <c r="BP22" s="20">
        <f t="shared" ref="BP22:BP45" ca="1" si="24">BO22*D22</f>
        <v>26656000</v>
      </c>
      <c r="BR22" s="20">
        <v>125000</v>
      </c>
      <c r="BS22" s="20">
        <f t="shared" ref="BS22:BS25" si="25">BR22*0.19</f>
        <v>23750</v>
      </c>
      <c r="BT22" s="20">
        <f t="shared" ref="BT22:BT45" si="26">BR22+BS22</f>
        <v>148750</v>
      </c>
      <c r="BU22" s="20">
        <f t="shared" ca="1" si="20"/>
        <v>23800000</v>
      </c>
      <c r="BW22" s="20">
        <v>120000</v>
      </c>
      <c r="BX22" s="20">
        <f t="shared" ref="BX22:BX45" si="27">BW22*0.19</f>
        <v>22800</v>
      </c>
      <c r="BY22" s="20">
        <f t="shared" ref="BY22:BY45" si="28">BW22+BX22</f>
        <v>142800</v>
      </c>
      <c r="BZ22" s="20">
        <f ca="1">BY22*D22</f>
        <v>22848000</v>
      </c>
      <c r="CB22" s="20">
        <v>108750</v>
      </c>
      <c r="CC22" s="20">
        <f t="shared" ref="CC22:CC45" si="29">CB22*0.19</f>
        <v>20662.5</v>
      </c>
      <c r="CD22" s="20">
        <f t="shared" ref="CD22:CD45" si="30">CB22+CC22</f>
        <v>129412.5</v>
      </c>
      <c r="CE22" s="20">
        <f t="shared" ca="1" si="21"/>
        <v>20706000</v>
      </c>
      <c r="CG22" s="20"/>
      <c r="CH22" s="20"/>
      <c r="CI22" s="20"/>
      <c r="CJ22" s="20"/>
      <c r="CL22" s="20"/>
      <c r="CM22" s="20"/>
      <c r="CN22" s="20"/>
      <c r="CO22" s="20"/>
      <c r="CP22" s="126"/>
      <c r="CQ22" s="138">
        <f t="shared" ref="CQ22:CQ50" si="31">AVERAGE(BO22,BT22,BY22,CD22)</f>
        <v>146890.625</v>
      </c>
      <c r="CR22" s="126"/>
    </row>
    <row r="23" spans="1:96" ht="15.75" customHeight="1" x14ac:dyDescent="0.2">
      <c r="A23" s="40" t="s">
        <v>36</v>
      </c>
      <c r="B23" s="34" t="s">
        <v>13</v>
      </c>
      <c r="C23" s="35">
        <v>1</v>
      </c>
      <c r="D23" s="16">
        <f ca="1">IFERROR(__xludf.DUMMYFUNCTION("+C21*$B$2"),80)</f>
        <v>80</v>
      </c>
      <c r="E23" s="36">
        <v>11200</v>
      </c>
      <c r="F23" s="37">
        <f ca="1">IFERROR(__xludf.DUMMYFUNCTION("+E21*C21"),11200)</f>
        <v>11200</v>
      </c>
      <c r="G23" s="18">
        <f ca="1">IFERROR(__xludf.DUMMYFUNCTION("+E21*D21"),896000)</f>
        <v>896000</v>
      </c>
      <c r="H23" s="38"/>
      <c r="J23" s="20"/>
      <c r="K23" s="20"/>
      <c r="L23" s="20">
        <f ca="1">IFERROR(__xludf.DUMMYFUNCTION("+J21+K21"),0)</f>
        <v>0</v>
      </c>
      <c r="M23" s="20">
        <f ca="1">IFERROR(__xludf.DUMMYFUNCTION("+L21*$D21"),0)</f>
        <v>0</v>
      </c>
      <c r="O23" s="20"/>
      <c r="P23" s="20"/>
      <c r="Q23" s="20">
        <f ca="1">IFERROR(__xludf.DUMMYFUNCTION("+O21+P21"),0)</f>
        <v>0</v>
      </c>
      <c r="R23" s="20">
        <f ca="1">IFERROR(__xludf.DUMMYFUNCTION("+Q21*$D21"),0)</f>
        <v>0</v>
      </c>
      <c r="T23" s="20"/>
      <c r="U23" s="20"/>
      <c r="V23" s="20">
        <f ca="1">IFERROR(__xludf.DUMMYFUNCTION("+T21+U21"),0)</f>
        <v>0</v>
      </c>
      <c r="W23" s="20">
        <f ca="1">IFERROR(__xludf.DUMMYFUNCTION("+V21*$D21"),0)</f>
        <v>0</v>
      </c>
      <c r="Y23" s="20"/>
      <c r="Z23" s="20"/>
      <c r="AA23" s="20">
        <f ca="1">IFERROR(__xludf.DUMMYFUNCTION("+Y21+Z21"),0)</f>
        <v>0</v>
      </c>
      <c r="AB23" s="20">
        <f ca="1">IFERROR(__xludf.DUMMYFUNCTION("+AA21*$D21"),0)</f>
        <v>0</v>
      </c>
      <c r="AD23" s="20"/>
      <c r="AE23" s="20"/>
      <c r="AF23" s="20">
        <f ca="1">IFERROR(__xludf.DUMMYFUNCTION("+AD21+AE21"),0)</f>
        <v>0</v>
      </c>
      <c r="AG23" s="20">
        <f ca="1">IFERROR(__xludf.DUMMYFUNCTION("+AF21*$D21"),0)</f>
        <v>0</v>
      </c>
      <c r="AI23" s="20"/>
      <c r="AJ23" s="20"/>
      <c r="AK23" s="20">
        <f ca="1">IFERROR(__xludf.DUMMYFUNCTION("+AI21+AJ21"),0)</f>
        <v>0</v>
      </c>
      <c r="AL23" s="20">
        <f ca="1">IFERROR(__xludf.DUMMYFUNCTION("+AK21*$D21"),0)</f>
        <v>0</v>
      </c>
      <c r="AN23" s="20"/>
      <c r="AO23" s="20"/>
      <c r="AP23" s="20">
        <f ca="1">IFERROR(__xludf.DUMMYFUNCTION("+AN21+AO21"),0)</f>
        <v>0</v>
      </c>
      <c r="AQ23" s="20">
        <f ca="1">IFERROR(__xludf.DUMMYFUNCTION("+AP21*$D21"),0)</f>
        <v>0</v>
      </c>
      <c r="AS23" s="20"/>
      <c r="AT23" s="20"/>
      <c r="AU23" s="20">
        <f ca="1">IFERROR(__xludf.DUMMYFUNCTION("+AS21+AT21"),0)</f>
        <v>0</v>
      </c>
      <c r="AV23" s="20">
        <f ca="1">IFERROR(__xludf.DUMMYFUNCTION("+AU21*$D21"),0)</f>
        <v>0</v>
      </c>
      <c r="AX23" s="20"/>
      <c r="AY23" s="20"/>
      <c r="AZ23" s="20">
        <f ca="1">IFERROR(__xludf.DUMMYFUNCTION("+AX21+AY21"),0)</f>
        <v>0</v>
      </c>
      <c r="BA23" s="20">
        <f ca="1">IFERROR(__xludf.DUMMYFUNCTION("+AZ21*$D21"),0)</f>
        <v>0</v>
      </c>
      <c r="BC23" s="20"/>
      <c r="BD23" s="20"/>
      <c r="BE23" s="20">
        <f ca="1">IFERROR(__xludf.DUMMYFUNCTION("+BC21+BD21"),0)</f>
        <v>0</v>
      </c>
      <c r="BF23" s="20">
        <f ca="1">IFERROR(__xludf.DUMMYFUNCTION("+BE21*$D21"),0)</f>
        <v>0</v>
      </c>
      <c r="BH23" s="20"/>
      <c r="BI23" s="20"/>
      <c r="BJ23" s="20">
        <f ca="1">IFERROR(__xludf.DUMMYFUNCTION("+BH21+BI21"),0)</f>
        <v>0</v>
      </c>
      <c r="BK23" s="20">
        <f ca="1">IFERROR(__xludf.DUMMYFUNCTION("+BJ21*$D21"),0)</f>
        <v>0</v>
      </c>
      <c r="BM23" s="20">
        <v>11200</v>
      </c>
      <c r="BN23" s="20">
        <f t="shared" si="22"/>
        <v>2128</v>
      </c>
      <c r="BO23" s="20">
        <f t="shared" si="23"/>
        <v>13328</v>
      </c>
      <c r="BP23" s="20">
        <f t="shared" ca="1" si="24"/>
        <v>1066240</v>
      </c>
      <c r="BQ23" s="126"/>
      <c r="BR23" s="20">
        <v>15000</v>
      </c>
      <c r="BS23" s="20">
        <f t="shared" si="25"/>
        <v>2850</v>
      </c>
      <c r="BT23" s="135">
        <f t="shared" si="26"/>
        <v>17850</v>
      </c>
      <c r="BU23" s="20">
        <f t="shared" ca="1" si="20"/>
        <v>1428000</v>
      </c>
      <c r="BV23" s="126"/>
      <c r="BW23" s="20">
        <v>17600</v>
      </c>
      <c r="BX23" s="20">
        <f t="shared" si="27"/>
        <v>3344</v>
      </c>
      <c r="BY23" s="20">
        <f t="shared" si="28"/>
        <v>20944</v>
      </c>
      <c r="BZ23" s="20">
        <f t="shared" ref="BZ23:BZ45" ca="1" si="32">BY23*D23</f>
        <v>1675520</v>
      </c>
      <c r="CB23" s="20">
        <v>15000</v>
      </c>
      <c r="CC23" s="20">
        <f t="shared" si="29"/>
        <v>2850</v>
      </c>
      <c r="CD23" s="20">
        <f t="shared" si="30"/>
        <v>17850</v>
      </c>
      <c r="CE23" s="20">
        <f t="shared" ca="1" si="21"/>
        <v>1428000</v>
      </c>
      <c r="CG23" s="20"/>
      <c r="CH23" s="20"/>
      <c r="CI23" s="20"/>
      <c r="CJ23" s="20"/>
      <c r="CL23" s="20"/>
      <c r="CM23" s="20"/>
      <c r="CN23" s="20"/>
      <c r="CO23" s="20"/>
      <c r="CP23" s="126"/>
      <c r="CQ23" s="138">
        <f t="shared" si="31"/>
        <v>17493</v>
      </c>
      <c r="CR23" s="126"/>
    </row>
    <row r="24" spans="1:96" ht="15.75" customHeight="1" x14ac:dyDescent="0.2">
      <c r="A24" s="40" t="s">
        <v>37</v>
      </c>
      <c r="B24" s="34" t="s">
        <v>38</v>
      </c>
      <c r="C24" s="35">
        <v>2</v>
      </c>
      <c r="D24" s="16">
        <f ca="1">IFERROR(__xludf.DUMMYFUNCTION("+C22*$B$2"),160)</f>
        <v>160</v>
      </c>
      <c r="E24" s="36">
        <v>8010</v>
      </c>
      <c r="F24" s="37">
        <f ca="1">IFERROR(__xludf.DUMMYFUNCTION("+E22*C22"),16020)</f>
        <v>16020</v>
      </c>
      <c r="G24" s="18">
        <f ca="1">IFERROR(__xludf.DUMMYFUNCTION("+E22*D22"),1281600)</f>
        <v>1281600</v>
      </c>
      <c r="H24" s="38"/>
      <c r="J24" s="20"/>
      <c r="K24" s="20"/>
      <c r="L24" s="20">
        <f ca="1">IFERROR(__xludf.DUMMYFUNCTION("+J22+K22"),0)</f>
        <v>0</v>
      </c>
      <c r="M24" s="20">
        <f ca="1">IFERROR(__xludf.DUMMYFUNCTION("+L22*$D22"),0)</f>
        <v>0</v>
      </c>
      <c r="O24" s="20"/>
      <c r="P24" s="20"/>
      <c r="Q24" s="20">
        <f ca="1">IFERROR(__xludf.DUMMYFUNCTION("+O22+P22"),0)</f>
        <v>0</v>
      </c>
      <c r="R24" s="20">
        <f ca="1">IFERROR(__xludf.DUMMYFUNCTION("+Q22*$D22"),0)</f>
        <v>0</v>
      </c>
      <c r="T24" s="20"/>
      <c r="U24" s="20"/>
      <c r="V24" s="20">
        <f ca="1">IFERROR(__xludf.DUMMYFUNCTION("+T22+U22"),0)</f>
        <v>0</v>
      </c>
      <c r="W24" s="20">
        <f ca="1">IFERROR(__xludf.DUMMYFUNCTION("+V22*$D22"),0)</f>
        <v>0</v>
      </c>
      <c r="Y24" s="20"/>
      <c r="Z24" s="20"/>
      <c r="AA24" s="20">
        <f ca="1">IFERROR(__xludf.DUMMYFUNCTION("+Y22+Z22"),0)</f>
        <v>0</v>
      </c>
      <c r="AB24" s="20">
        <f ca="1">IFERROR(__xludf.DUMMYFUNCTION("+AA22*$D22"),0)</f>
        <v>0</v>
      </c>
      <c r="AD24" s="20"/>
      <c r="AE24" s="20"/>
      <c r="AF24" s="20">
        <f ca="1">IFERROR(__xludf.DUMMYFUNCTION("+AD22+AE22"),0)</f>
        <v>0</v>
      </c>
      <c r="AG24" s="20">
        <f ca="1">IFERROR(__xludf.DUMMYFUNCTION("+AF22*$D22"),0)</f>
        <v>0</v>
      </c>
      <c r="AI24" s="20"/>
      <c r="AJ24" s="20"/>
      <c r="AK24" s="20">
        <f ca="1">IFERROR(__xludf.DUMMYFUNCTION("+AI22+AJ22"),0)</f>
        <v>0</v>
      </c>
      <c r="AL24" s="20">
        <f ca="1">IFERROR(__xludf.DUMMYFUNCTION("+AK22*$D22"),0)</f>
        <v>0</v>
      </c>
      <c r="AN24" s="20"/>
      <c r="AO24" s="20"/>
      <c r="AP24" s="20">
        <f ca="1">IFERROR(__xludf.DUMMYFUNCTION("+AN22+AO22"),0)</f>
        <v>0</v>
      </c>
      <c r="AQ24" s="20">
        <f ca="1">IFERROR(__xludf.DUMMYFUNCTION("+AP22*$D22"),0)</f>
        <v>0</v>
      </c>
      <c r="AS24" s="20"/>
      <c r="AT24" s="20"/>
      <c r="AU24" s="20">
        <f ca="1">IFERROR(__xludf.DUMMYFUNCTION("+AS22+AT22"),0)</f>
        <v>0</v>
      </c>
      <c r="AV24" s="20">
        <f ca="1">IFERROR(__xludf.DUMMYFUNCTION("+AU22*$D22"),0)</f>
        <v>0</v>
      </c>
      <c r="AX24" s="20"/>
      <c r="AY24" s="20"/>
      <c r="AZ24" s="20">
        <f ca="1">IFERROR(__xludf.DUMMYFUNCTION("+AX22+AY22"),0)</f>
        <v>0</v>
      </c>
      <c r="BA24" s="20">
        <f ca="1">IFERROR(__xludf.DUMMYFUNCTION("+AZ22*$D22"),0)</f>
        <v>0</v>
      </c>
      <c r="BC24" s="20"/>
      <c r="BD24" s="20"/>
      <c r="BE24" s="20">
        <f ca="1">IFERROR(__xludf.DUMMYFUNCTION("+BC22+BD22"),0)</f>
        <v>0</v>
      </c>
      <c r="BF24" s="20">
        <f ca="1">IFERROR(__xludf.DUMMYFUNCTION("+BE22*$D22"),0)</f>
        <v>0</v>
      </c>
      <c r="BH24" s="20"/>
      <c r="BI24" s="20"/>
      <c r="BJ24" s="20">
        <f ca="1">IFERROR(__xludf.DUMMYFUNCTION("+BH22+BI22"),0)</f>
        <v>0</v>
      </c>
      <c r="BK24" s="20">
        <f ca="1">IFERROR(__xludf.DUMMYFUNCTION("+BJ22*$D22"),0)</f>
        <v>0</v>
      </c>
      <c r="BM24" s="20">
        <v>8010</v>
      </c>
      <c r="BN24" s="20">
        <f t="shared" si="22"/>
        <v>1521.9</v>
      </c>
      <c r="BO24" s="20">
        <f t="shared" si="23"/>
        <v>9531.9</v>
      </c>
      <c r="BP24" s="20">
        <f t="shared" ca="1" si="24"/>
        <v>1525104</v>
      </c>
      <c r="BR24" s="20">
        <v>10000</v>
      </c>
      <c r="BS24" s="20">
        <f t="shared" si="25"/>
        <v>1900</v>
      </c>
      <c r="BT24" s="20">
        <f t="shared" si="26"/>
        <v>11900</v>
      </c>
      <c r="BU24" s="20">
        <f t="shared" ca="1" si="20"/>
        <v>1904000</v>
      </c>
      <c r="BW24" s="20">
        <f>BM23</f>
        <v>11200</v>
      </c>
      <c r="BX24" s="20">
        <f t="shared" si="27"/>
        <v>2128</v>
      </c>
      <c r="BY24" s="20">
        <f t="shared" si="28"/>
        <v>13328</v>
      </c>
      <c r="BZ24" s="20">
        <f t="shared" ca="1" si="32"/>
        <v>2132480</v>
      </c>
      <c r="CB24" s="20">
        <v>15000</v>
      </c>
      <c r="CC24" s="20">
        <f t="shared" si="29"/>
        <v>2850</v>
      </c>
      <c r="CD24" s="20">
        <f t="shared" si="30"/>
        <v>17850</v>
      </c>
      <c r="CE24" s="20">
        <f t="shared" ca="1" si="21"/>
        <v>2856000</v>
      </c>
      <c r="CG24" s="20"/>
      <c r="CH24" s="20"/>
      <c r="CI24" s="20"/>
      <c r="CJ24" s="20"/>
      <c r="CL24" s="20"/>
      <c r="CM24" s="20"/>
      <c r="CN24" s="20"/>
      <c r="CO24" s="20"/>
      <c r="CP24" s="126"/>
      <c r="CQ24" s="138">
        <f t="shared" si="31"/>
        <v>13152.475</v>
      </c>
      <c r="CR24" s="126"/>
    </row>
    <row r="25" spans="1:96" ht="15.75" customHeight="1" x14ac:dyDescent="0.2">
      <c r="A25" s="40" t="s">
        <v>39</v>
      </c>
      <c r="B25" s="34" t="s">
        <v>13</v>
      </c>
      <c r="C25" s="35">
        <v>1</v>
      </c>
      <c r="D25" s="16">
        <v>80</v>
      </c>
      <c r="E25" s="36">
        <v>11359</v>
      </c>
      <c r="F25" s="37">
        <f ca="1">IFERROR(__xludf.DUMMYFUNCTION("+E23*C23"),22718)</f>
        <v>22718</v>
      </c>
      <c r="G25" s="18">
        <f ca="1">IFERROR(__xludf.DUMMYFUNCTION("+E23*D23"),1817440)</f>
        <v>1817440</v>
      </c>
      <c r="H25" s="38"/>
      <c r="J25" s="20"/>
      <c r="K25" s="20"/>
      <c r="L25" s="20">
        <f ca="1">IFERROR(__xludf.DUMMYFUNCTION("+J23+K23"),0)</f>
        <v>0</v>
      </c>
      <c r="M25" s="20">
        <f ca="1">IFERROR(__xludf.DUMMYFUNCTION("+L23*$D23"),0)</f>
        <v>0</v>
      </c>
      <c r="O25" s="20"/>
      <c r="P25" s="20"/>
      <c r="Q25" s="20">
        <f ca="1">IFERROR(__xludf.DUMMYFUNCTION("+O23+P23"),0)</f>
        <v>0</v>
      </c>
      <c r="R25" s="20">
        <f ca="1">IFERROR(__xludf.DUMMYFUNCTION("+Q23*$D23"),0)</f>
        <v>0</v>
      </c>
      <c r="T25" s="20"/>
      <c r="U25" s="20"/>
      <c r="V25" s="20">
        <f ca="1">IFERROR(__xludf.DUMMYFUNCTION("+T23+U23"),0)</f>
        <v>0</v>
      </c>
      <c r="W25" s="20">
        <f ca="1">IFERROR(__xludf.DUMMYFUNCTION("+V23*$D23"),0)</f>
        <v>0</v>
      </c>
      <c r="Y25" s="20"/>
      <c r="Z25" s="20"/>
      <c r="AA25" s="20">
        <f ca="1">IFERROR(__xludf.DUMMYFUNCTION("+Y23+Z23"),0)</f>
        <v>0</v>
      </c>
      <c r="AB25" s="20">
        <f ca="1">IFERROR(__xludf.DUMMYFUNCTION("+AA23*$D23"),0)</f>
        <v>0</v>
      </c>
      <c r="AD25" s="20"/>
      <c r="AE25" s="20"/>
      <c r="AF25" s="20">
        <f ca="1">IFERROR(__xludf.DUMMYFUNCTION("+AD23+AE23"),0)</f>
        <v>0</v>
      </c>
      <c r="AG25" s="20">
        <f ca="1">IFERROR(__xludf.DUMMYFUNCTION("+AF23*$D23"),0)</f>
        <v>0</v>
      </c>
      <c r="AI25" s="20"/>
      <c r="AJ25" s="20"/>
      <c r="AK25" s="20">
        <f ca="1">IFERROR(__xludf.DUMMYFUNCTION("+AI23+AJ23"),0)</f>
        <v>0</v>
      </c>
      <c r="AL25" s="20">
        <f ca="1">IFERROR(__xludf.DUMMYFUNCTION("+AK23*$D23"),0)</f>
        <v>0</v>
      </c>
      <c r="AN25" s="20"/>
      <c r="AO25" s="20"/>
      <c r="AP25" s="20">
        <f ca="1">IFERROR(__xludf.DUMMYFUNCTION("+AN23+AO23"),0)</f>
        <v>0</v>
      </c>
      <c r="AQ25" s="20">
        <f ca="1">IFERROR(__xludf.DUMMYFUNCTION("+AP23*$D23"),0)</f>
        <v>0</v>
      </c>
      <c r="AS25" s="20"/>
      <c r="AT25" s="20"/>
      <c r="AU25" s="20">
        <f ca="1">IFERROR(__xludf.DUMMYFUNCTION("+AS23+AT23"),0)</f>
        <v>0</v>
      </c>
      <c r="AV25" s="20">
        <f ca="1">IFERROR(__xludf.DUMMYFUNCTION("+AU23*$D23"),0)</f>
        <v>0</v>
      </c>
      <c r="AX25" s="20"/>
      <c r="AY25" s="20"/>
      <c r="AZ25" s="20">
        <f ca="1">IFERROR(__xludf.DUMMYFUNCTION("+AX23+AY23"),0)</f>
        <v>0</v>
      </c>
      <c r="BA25" s="20">
        <f ca="1">IFERROR(__xludf.DUMMYFUNCTION("+AZ23*$D23"),0)</f>
        <v>0</v>
      </c>
      <c r="BC25" s="20"/>
      <c r="BD25" s="20"/>
      <c r="BE25" s="20">
        <f ca="1">IFERROR(__xludf.DUMMYFUNCTION("+BC23+BD23"),0)</f>
        <v>0</v>
      </c>
      <c r="BF25" s="20">
        <f ca="1">IFERROR(__xludf.DUMMYFUNCTION("+BE23*$D23"),0)</f>
        <v>0</v>
      </c>
      <c r="BH25" s="20"/>
      <c r="BI25" s="20"/>
      <c r="BJ25" s="20">
        <f ca="1">IFERROR(__xludf.DUMMYFUNCTION("+BH23+BI23"),0)</f>
        <v>0</v>
      </c>
      <c r="BK25" s="20">
        <f ca="1">IFERROR(__xludf.DUMMYFUNCTION("+BJ23*$D23"),0)</f>
        <v>0</v>
      </c>
      <c r="BM25" s="20">
        <v>11359</v>
      </c>
      <c r="BN25" s="20">
        <f t="shared" si="22"/>
        <v>2158.21</v>
      </c>
      <c r="BO25" s="20">
        <f t="shared" si="23"/>
        <v>13517.21</v>
      </c>
      <c r="BP25" s="20">
        <f t="shared" si="24"/>
        <v>1081376.7999999998</v>
      </c>
      <c r="BR25" s="20">
        <v>14000</v>
      </c>
      <c r="BS25" s="20">
        <f t="shared" si="25"/>
        <v>2660</v>
      </c>
      <c r="BT25" s="135">
        <f t="shared" si="26"/>
        <v>16660</v>
      </c>
      <c r="BU25" s="20">
        <f t="shared" si="20"/>
        <v>1332800</v>
      </c>
      <c r="BW25" s="20">
        <f>BM24</f>
        <v>8010</v>
      </c>
      <c r="BX25" s="20"/>
      <c r="BY25" s="20">
        <f>BW25+BX25</f>
        <v>8010</v>
      </c>
      <c r="BZ25" s="20">
        <f t="shared" si="32"/>
        <v>640800</v>
      </c>
      <c r="CB25" s="20">
        <v>22500</v>
      </c>
      <c r="CC25" s="20">
        <f t="shared" si="29"/>
        <v>4275</v>
      </c>
      <c r="CD25" s="20">
        <f t="shared" si="30"/>
        <v>26775</v>
      </c>
      <c r="CE25" s="20">
        <f t="shared" si="21"/>
        <v>2142000</v>
      </c>
      <c r="CG25" s="20"/>
      <c r="CH25" s="20"/>
      <c r="CI25" s="20"/>
      <c r="CJ25" s="20"/>
      <c r="CL25" s="20"/>
      <c r="CM25" s="20"/>
      <c r="CN25" s="20"/>
      <c r="CO25" s="20"/>
      <c r="CP25" s="126"/>
      <c r="CQ25" s="138">
        <f t="shared" si="31"/>
        <v>16240.5525</v>
      </c>
      <c r="CR25" s="126"/>
    </row>
    <row r="26" spans="1:96" ht="15.75" customHeight="1" x14ac:dyDescent="0.2">
      <c r="A26" s="40" t="s">
        <v>40</v>
      </c>
      <c r="B26" s="34" t="s">
        <v>41</v>
      </c>
      <c r="C26" s="35">
        <v>3</v>
      </c>
      <c r="D26" s="16">
        <f ca="1">IFERROR(__xludf.DUMMYFUNCTION("+C24*$B$2"),240)</f>
        <v>240</v>
      </c>
      <c r="E26" s="36">
        <v>2300</v>
      </c>
      <c r="F26" s="37">
        <f ca="1">IFERROR(__xludf.DUMMYFUNCTION("+E24*C24"),6900)</f>
        <v>6900</v>
      </c>
      <c r="G26" s="18">
        <f ca="1">IFERROR(__xludf.DUMMYFUNCTION("+E24*D24"),552000)</f>
        <v>552000</v>
      </c>
      <c r="H26" s="38"/>
      <c r="J26" s="20"/>
      <c r="K26" s="20"/>
      <c r="L26" s="20">
        <f ca="1">IFERROR(__xludf.DUMMYFUNCTION("+J24+K24"),0)</f>
        <v>0</v>
      </c>
      <c r="M26" s="20">
        <f ca="1">IFERROR(__xludf.DUMMYFUNCTION("+L24*$D24"),0)</f>
        <v>0</v>
      </c>
      <c r="O26" s="20"/>
      <c r="P26" s="20"/>
      <c r="Q26" s="20">
        <f ca="1">IFERROR(__xludf.DUMMYFUNCTION("+O24+P24"),0)</f>
        <v>0</v>
      </c>
      <c r="R26" s="20">
        <f ca="1">IFERROR(__xludf.DUMMYFUNCTION("+Q24*$D24"),0)</f>
        <v>0</v>
      </c>
      <c r="T26" s="20"/>
      <c r="U26" s="20"/>
      <c r="V26" s="20">
        <f ca="1">IFERROR(__xludf.DUMMYFUNCTION("+T24+U24"),0)</f>
        <v>0</v>
      </c>
      <c r="W26" s="20">
        <f ca="1">IFERROR(__xludf.DUMMYFUNCTION("+V24*$D24"),0)</f>
        <v>0</v>
      </c>
      <c r="Y26" s="20"/>
      <c r="Z26" s="20"/>
      <c r="AA26" s="20">
        <f ca="1">IFERROR(__xludf.DUMMYFUNCTION("+Y24+Z24"),0)</f>
        <v>0</v>
      </c>
      <c r="AB26" s="20">
        <f ca="1">IFERROR(__xludf.DUMMYFUNCTION("+AA24*$D24"),0)</f>
        <v>0</v>
      </c>
      <c r="AD26" s="20"/>
      <c r="AE26" s="20"/>
      <c r="AF26" s="20">
        <f ca="1">IFERROR(__xludf.DUMMYFUNCTION("+AD24+AE24"),0)</f>
        <v>0</v>
      </c>
      <c r="AG26" s="20">
        <f ca="1">IFERROR(__xludf.DUMMYFUNCTION("+AF24*$D24"),0)</f>
        <v>0</v>
      </c>
      <c r="AI26" s="20"/>
      <c r="AJ26" s="20"/>
      <c r="AK26" s="20">
        <f ca="1">IFERROR(__xludf.DUMMYFUNCTION("+AI24+AJ24"),0)</f>
        <v>0</v>
      </c>
      <c r="AL26" s="20">
        <f ca="1">IFERROR(__xludf.DUMMYFUNCTION("+AK24*$D24"),0)</f>
        <v>0</v>
      </c>
      <c r="AN26" s="20"/>
      <c r="AO26" s="20"/>
      <c r="AP26" s="20">
        <f ca="1">IFERROR(__xludf.DUMMYFUNCTION("+AN24+AO24"),0)</f>
        <v>0</v>
      </c>
      <c r="AQ26" s="20">
        <f ca="1">IFERROR(__xludf.DUMMYFUNCTION("+AP24*$D24"),0)</f>
        <v>0</v>
      </c>
      <c r="AS26" s="20"/>
      <c r="AT26" s="20"/>
      <c r="AU26" s="20">
        <f ca="1">IFERROR(__xludf.DUMMYFUNCTION("+AS24+AT24"),0)</f>
        <v>0</v>
      </c>
      <c r="AV26" s="20">
        <f ca="1">IFERROR(__xludf.DUMMYFUNCTION("+AU24*$D24"),0)</f>
        <v>0</v>
      </c>
      <c r="AX26" s="20"/>
      <c r="AY26" s="20"/>
      <c r="AZ26" s="20">
        <f ca="1">IFERROR(__xludf.DUMMYFUNCTION("+AX24+AY24"),0)</f>
        <v>0</v>
      </c>
      <c r="BA26" s="20">
        <f ca="1">IFERROR(__xludf.DUMMYFUNCTION("+AZ24*$D24"),0)</f>
        <v>0</v>
      </c>
      <c r="BC26" s="20"/>
      <c r="BD26" s="20"/>
      <c r="BE26" s="20">
        <f ca="1">IFERROR(__xludf.DUMMYFUNCTION("+BC24+BD24"),0)</f>
        <v>0</v>
      </c>
      <c r="BF26" s="20">
        <f ca="1">IFERROR(__xludf.DUMMYFUNCTION("+BE24*$D24"),0)</f>
        <v>0</v>
      </c>
      <c r="BH26" s="20"/>
      <c r="BI26" s="20"/>
      <c r="BJ26" s="20">
        <f ca="1">IFERROR(__xludf.DUMMYFUNCTION("+BH24+BI24"),0)</f>
        <v>0</v>
      </c>
      <c r="BK26" s="20">
        <f ca="1">IFERROR(__xludf.DUMMYFUNCTION("+BJ24*$D24"),0)</f>
        <v>0</v>
      </c>
      <c r="BM26" s="20">
        <v>2300</v>
      </c>
      <c r="BN26" s="20">
        <f t="shared" si="22"/>
        <v>437</v>
      </c>
      <c r="BO26" s="20">
        <f t="shared" si="23"/>
        <v>2737</v>
      </c>
      <c r="BP26" s="20">
        <f t="shared" ca="1" si="24"/>
        <v>656880</v>
      </c>
      <c r="BR26" s="20">
        <v>2700</v>
      </c>
      <c r="BS26" s="20">
        <f t="shared" ref="BS26:BS45" si="33">BR26*0.19</f>
        <v>513</v>
      </c>
      <c r="BT26" s="20">
        <f t="shared" si="26"/>
        <v>3213</v>
      </c>
      <c r="BU26" s="20">
        <f t="shared" ca="1" si="20"/>
        <v>771120</v>
      </c>
      <c r="BW26" s="20">
        <f>BM26</f>
        <v>2300</v>
      </c>
      <c r="BX26" s="20">
        <f t="shared" si="27"/>
        <v>437</v>
      </c>
      <c r="BY26" s="20">
        <f t="shared" si="28"/>
        <v>2737</v>
      </c>
      <c r="BZ26" s="20">
        <f t="shared" ca="1" si="32"/>
        <v>656880</v>
      </c>
      <c r="CB26" s="20">
        <v>2875</v>
      </c>
      <c r="CC26" s="20">
        <f t="shared" si="29"/>
        <v>546.25</v>
      </c>
      <c r="CD26" s="20">
        <f t="shared" si="30"/>
        <v>3421.25</v>
      </c>
      <c r="CE26" s="20">
        <f t="shared" ca="1" si="21"/>
        <v>821100</v>
      </c>
      <c r="CG26" s="20"/>
      <c r="CH26" s="20"/>
      <c r="CI26" s="20"/>
      <c r="CJ26" s="20"/>
      <c r="CL26" s="20"/>
      <c r="CM26" s="20"/>
      <c r="CN26" s="20"/>
      <c r="CO26" s="20"/>
      <c r="CP26" s="126"/>
      <c r="CQ26" s="138">
        <f t="shared" si="31"/>
        <v>3027.0625</v>
      </c>
      <c r="CR26" s="126"/>
    </row>
    <row r="27" spans="1:96" ht="15.75" customHeight="1" x14ac:dyDescent="0.2">
      <c r="A27" s="40" t="s">
        <v>42</v>
      </c>
      <c r="B27" s="34" t="s">
        <v>43</v>
      </c>
      <c r="C27" s="35">
        <v>1</v>
      </c>
      <c r="D27" s="16">
        <f ca="1">IFERROR(__xludf.DUMMYFUNCTION("+C25*$B$2"),80)</f>
        <v>80</v>
      </c>
      <c r="E27" s="36">
        <v>38400</v>
      </c>
      <c r="F27" s="37">
        <f ca="1">IFERROR(__xludf.DUMMYFUNCTION("+E25*C25"),38400)</f>
        <v>38400</v>
      </c>
      <c r="G27" s="18">
        <f ca="1">IFERROR(__xludf.DUMMYFUNCTION("+E25*D25"),3072000)</f>
        <v>3072000</v>
      </c>
      <c r="H27" s="38"/>
      <c r="J27" s="20"/>
      <c r="K27" s="20"/>
      <c r="L27" s="20">
        <f ca="1">IFERROR(__xludf.DUMMYFUNCTION("+J25+K25"),0)</f>
        <v>0</v>
      </c>
      <c r="M27" s="20">
        <f ca="1">IFERROR(__xludf.DUMMYFUNCTION("+L25*$D25"),0)</f>
        <v>0</v>
      </c>
      <c r="O27" s="20"/>
      <c r="P27" s="20"/>
      <c r="Q27" s="20">
        <f ca="1">IFERROR(__xludf.DUMMYFUNCTION("+O25+P25"),0)</f>
        <v>0</v>
      </c>
      <c r="R27" s="20">
        <f ca="1">IFERROR(__xludf.DUMMYFUNCTION("+Q25*$D25"),0)</f>
        <v>0</v>
      </c>
      <c r="T27" s="20"/>
      <c r="U27" s="20"/>
      <c r="V27" s="20">
        <f ca="1">IFERROR(__xludf.DUMMYFUNCTION("+T25+U25"),0)</f>
        <v>0</v>
      </c>
      <c r="W27" s="20">
        <f ca="1">IFERROR(__xludf.DUMMYFUNCTION("+V25*$D25"),0)</f>
        <v>0</v>
      </c>
      <c r="Y27" s="20"/>
      <c r="Z27" s="20"/>
      <c r="AA27" s="20">
        <f ca="1">IFERROR(__xludf.DUMMYFUNCTION("+Y25+Z25"),0)</f>
        <v>0</v>
      </c>
      <c r="AB27" s="20">
        <f ca="1">IFERROR(__xludf.DUMMYFUNCTION("+AA25*$D25"),0)</f>
        <v>0</v>
      </c>
      <c r="AD27" s="20"/>
      <c r="AE27" s="20"/>
      <c r="AF27" s="20">
        <f ca="1">IFERROR(__xludf.DUMMYFUNCTION("+AD25+AE25"),0)</f>
        <v>0</v>
      </c>
      <c r="AG27" s="20">
        <f ca="1">IFERROR(__xludf.DUMMYFUNCTION("+AF25*$D25"),0)</f>
        <v>0</v>
      </c>
      <c r="AI27" s="20"/>
      <c r="AJ27" s="20"/>
      <c r="AK27" s="20">
        <f ca="1">IFERROR(__xludf.DUMMYFUNCTION("+AI25+AJ25"),0)</f>
        <v>0</v>
      </c>
      <c r="AL27" s="20">
        <f ca="1">IFERROR(__xludf.DUMMYFUNCTION("+AK25*$D25"),0)</f>
        <v>0</v>
      </c>
      <c r="AN27" s="20"/>
      <c r="AO27" s="20"/>
      <c r="AP27" s="20">
        <f ca="1">IFERROR(__xludf.DUMMYFUNCTION("+AN25+AO25"),0)</f>
        <v>0</v>
      </c>
      <c r="AQ27" s="20">
        <f ca="1">IFERROR(__xludf.DUMMYFUNCTION("+AP25*$D25"),0)</f>
        <v>0</v>
      </c>
      <c r="AS27" s="20"/>
      <c r="AT27" s="20"/>
      <c r="AU27" s="20">
        <f ca="1">IFERROR(__xludf.DUMMYFUNCTION("+AS25+AT25"),0)</f>
        <v>0</v>
      </c>
      <c r="AV27" s="20">
        <f ca="1">IFERROR(__xludf.DUMMYFUNCTION("+AU25*$D25"),0)</f>
        <v>0</v>
      </c>
      <c r="AX27" s="20"/>
      <c r="AY27" s="20"/>
      <c r="AZ27" s="20">
        <f ca="1">IFERROR(__xludf.DUMMYFUNCTION("+AX25+AY25"),0)</f>
        <v>0</v>
      </c>
      <c r="BA27" s="20">
        <f ca="1">IFERROR(__xludf.DUMMYFUNCTION("+AZ25*$D25"),0)</f>
        <v>0</v>
      </c>
      <c r="BC27" s="20"/>
      <c r="BD27" s="20"/>
      <c r="BE27" s="20">
        <f ca="1">IFERROR(__xludf.DUMMYFUNCTION("+BC25+BD25"),0)</f>
        <v>0</v>
      </c>
      <c r="BF27" s="20">
        <f ca="1">IFERROR(__xludf.DUMMYFUNCTION("+BE25*$D25"),0)</f>
        <v>0</v>
      </c>
      <c r="BH27" s="20"/>
      <c r="BI27" s="20"/>
      <c r="BJ27" s="20">
        <f ca="1">IFERROR(__xludf.DUMMYFUNCTION("+BH25+BI25"),0)</f>
        <v>0</v>
      </c>
      <c r="BK27" s="20">
        <f ca="1">IFERROR(__xludf.DUMMYFUNCTION("+BJ25*$D25"),0)</f>
        <v>0</v>
      </c>
      <c r="BM27" s="20">
        <v>38400</v>
      </c>
      <c r="BN27" s="20">
        <f t="shared" si="22"/>
        <v>7296</v>
      </c>
      <c r="BO27" s="20">
        <f t="shared" si="23"/>
        <v>45696</v>
      </c>
      <c r="BP27" s="20">
        <f t="shared" ca="1" si="24"/>
        <v>3655680</v>
      </c>
      <c r="BR27" s="20">
        <v>45000</v>
      </c>
      <c r="BS27" s="20">
        <f t="shared" si="33"/>
        <v>8550</v>
      </c>
      <c r="BT27" s="135">
        <f t="shared" si="26"/>
        <v>53550</v>
      </c>
      <c r="BU27" s="20">
        <f t="shared" ca="1" si="20"/>
        <v>4284000</v>
      </c>
      <c r="BW27" s="20">
        <f>BM27</f>
        <v>38400</v>
      </c>
      <c r="BX27" s="20">
        <f>BW27*0.19</f>
        <v>7296</v>
      </c>
      <c r="BY27" s="20">
        <f>BW27+BX27</f>
        <v>45696</v>
      </c>
      <c r="BZ27" s="20">
        <f t="shared" ca="1" si="32"/>
        <v>3655680</v>
      </c>
      <c r="CB27" s="20">
        <v>38400</v>
      </c>
      <c r="CC27" s="20">
        <f t="shared" si="29"/>
        <v>7296</v>
      </c>
      <c r="CD27" s="20">
        <f t="shared" si="30"/>
        <v>45696</v>
      </c>
      <c r="CE27" s="20">
        <f t="shared" ca="1" si="21"/>
        <v>3655680</v>
      </c>
      <c r="CG27" s="20"/>
      <c r="CH27" s="20"/>
      <c r="CI27" s="20"/>
      <c r="CJ27" s="20"/>
      <c r="CL27" s="20"/>
      <c r="CM27" s="20"/>
      <c r="CN27" s="20"/>
      <c r="CO27" s="20"/>
      <c r="CP27" s="126"/>
      <c r="CQ27" s="138">
        <f t="shared" si="31"/>
        <v>47659.5</v>
      </c>
      <c r="CR27" s="126"/>
    </row>
    <row r="28" spans="1:96" ht="15.75" customHeight="1" x14ac:dyDescent="0.2">
      <c r="A28" s="40" t="s">
        <v>44</v>
      </c>
      <c r="B28" s="34" t="s">
        <v>45</v>
      </c>
      <c r="C28" s="35">
        <v>1</v>
      </c>
      <c r="D28" s="16">
        <f ca="1">IFERROR(__xludf.DUMMYFUNCTION("+C26*$B$2"),80)</f>
        <v>80</v>
      </c>
      <c r="E28" s="36">
        <v>21500</v>
      </c>
      <c r="F28" s="37">
        <f ca="1">IFERROR(__xludf.DUMMYFUNCTION("+E26*C26"),21500)</f>
        <v>21500</v>
      </c>
      <c r="G28" s="18">
        <f ca="1">IFERROR(__xludf.DUMMYFUNCTION("+E26*D26"),1720000)</f>
        <v>1720000</v>
      </c>
      <c r="H28" s="38"/>
      <c r="J28" s="20"/>
      <c r="K28" s="20"/>
      <c r="L28" s="20">
        <f ca="1">IFERROR(__xludf.DUMMYFUNCTION("+J26+K26"),0)</f>
        <v>0</v>
      </c>
      <c r="M28" s="20">
        <f ca="1">IFERROR(__xludf.DUMMYFUNCTION("+L26*$D26"),0)</f>
        <v>0</v>
      </c>
      <c r="O28" s="20"/>
      <c r="P28" s="20"/>
      <c r="Q28" s="20">
        <f ca="1">IFERROR(__xludf.DUMMYFUNCTION("+O26+P26"),0)</f>
        <v>0</v>
      </c>
      <c r="R28" s="20">
        <f ca="1">IFERROR(__xludf.DUMMYFUNCTION("+Q26*$D26"),0)</f>
        <v>0</v>
      </c>
      <c r="T28" s="20"/>
      <c r="U28" s="20"/>
      <c r="V28" s="20">
        <f ca="1">IFERROR(__xludf.DUMMYFUNCTION("+T26+U26"),0)</f>
        <v>0</v>
      </c>
      <c r="W28" s="20">
        <f ca="1">IFERROR(__xludf.DUMMYFUNCTION("+V26*$D26"),0)</f>
        <v>0</v>
      </c>
      <c r="Y28" s="20"/>
      <c r="Z28" s="20"/>
      <c r="AA28" s="20">
        <f ca="1">IFERROR(__xludf.DUMMYFUNCTION("+Y26+Z26"),0)</f>
        <v>0</v>
      </c>
      <c r="AB28" s="20">
        <f ca="1">IFERROR(__xludf.DUMMYFUNCTION("+AA26*$D26"),0)</f>
        <v>0</v>
      </c>
      <c r="AD28" s="20"/>
      <c r="AE28" s="20"/>
      <c r="AF28" s="20">
        <f ca="1">IFERROR(__xludf.DUMMYFUNCTION("+AD26+AE26"),0)</f>
        <v>0</v>
      </c>
      <c r="AG28" s="20">
        <f ca="1">IFERROR(__xludf.DUMMYFUNCTION("+AF26*$D26"),0)</f>
        <v>0</v>
      </c>
      <c r="AI28" s="20"/>
      <c r="AJ28" s="20"/>
      <c r="AK28" s="20">
        <f ca="1">IFERROR(__xludf.DUMMYFUNCTION("+AI26+AJ26"),0)</f>
        <v>0</v>
      </c>
      <c r="AL28" s="20">
        <f ca="1">IFERROR(__xludf.DUMMYFUNCTION("+AK26*$D26"),0)</f>
        <v>0</v>
      </c>
      <c r="AN28" s="20"/>
      <c r="AO28" s="20"/>
      <c r="AP28" s="20">
        <f ca="1">IFERROR(__xludf.DUMMYFUNCTION("+AN26+AO26"),0)</f>
        <v>0</v>
      </c>
      <c r="AQ28" s="20">
        <f ca="1">IFERROR(__xludf.DUMMYFUNCTION("+AP26*$D26"),0)</f>
        <v>0</v>
      </c>
      <c r="AS28" s="20"/>
      <c r="AT28" s="20"/>
      <c r="AU28" s="20">
        <f ca="1">IFERROR(__xludf.DUMMYFUNCTION("+AS26+AT26"),0)</f>
        <v>0</v>
      </c>
      <c r="AV28" s="20">
        <f ca="1">IFERROR(__xludf.DUMMYFUNCTION("+AU26*$D26"),0)</f>
        <v>0</v>
      </c>
      <c r="AX28" s="20"/>
      <c r="AY28" s="20"/>
      <c r="AZ28" s="20">
        <f ca="1">IFERROR(__xludf.DUMMYFUNCTION("+AX26+AY26"),0)</f>
        <v>0</v>
      </c>
      <c r="BA28" s="20">
        <f ca="1">IFERROR(__xludf.DUMMYFUNCTION("+AZ26*$D26"),0)</f>
        <v>0</v>
      </c>
      <c r="BC28" s="20"/>
      <c r="BD28" s="20"/>
      <c r="BE28" s="20">
        <f ca="1">IFERROR(__xludf.DUMMYFUNCTION("+BC26+BD26"),0)</f>
        <v>0</v>
      </c>
      <c r="BF28" s="20">
        <f ca="1">IFERROR(__xludf.DUMMYFUNCTION("+BE26*$D26"),0)</f>
        <v>0</v>
      </c>
      <c r="BH28" s="20"/>
      <c r="BI28" s="20"/>
      <c r="BJ28" s="20">
        <f ca="1">IFERROR(__xludf.DUMMYFUNCTION("+BH26+BI26"),0)</f>
        <v>0</v>
      </c>
      <c r="BK28" s="20">
        <f ca="1">IFERROR(__xludf.DUMMYFUNCTION("+BJ26*$D26"),0)</f>
        <v>0</v>
      </c>
      <c r="BM28" s="20">
        <v>21500</v>
      </c>
      <c r="BN28" s="20">
        <f t="shared" si="22"/>
        <v>4085</v>
      </c>
      <c r="BO28" s="20">
        <f t="shared" si="23"/>
        <v>25585</v>
      </c>
      <c r="BP28" s="20">
        <f t="shared" ca="1" si="24"/>
        <v>2046800</v>
      </c>
      <c r="BR28" s="20">
        <v>55000</v>
      </c>
      <c r="BS28" s="20">
        <f t="shared" si="33"/>
        <v>10450</v>
      </c>
      <c r="BT28" s="135">
        <f t="shared" si="26"/>
        <v>65450</v>
      </c>
      <c r="BU28" s="20">
        <f t="shared" ca="1" si="20"/>
        <v>5236000</v>
      </c>
      <c r="BW28" s="20">
        <v>32000</v>
      </c>
      <c r="BX28" s="20">
        <f t="shared" si="27"/>
        <v>6080</v>
      </c>
      <c r="BY28" s="20">
        <f t="shared" si="28"/>
        <v>38080</v>
      </c>
      <c r="BZ28" s="20">
        <f t="shared" ca="1" si="32"/>
        <v>3046400</v>
      </c>
      <c r="CB28" s="20">
        <v>42550</v>
      </c>
      <c r="CC28" s="20">
        <f t="shared" si="29"/>
        <v>8084.5</v>
      </c>
      <c r="CD28" s="20">
        <f t="shared" si="30"/>
        <v>50634.5</v>
      </c>
      <c r="CE28" s="20">
        <f t="shared" ca="1" si="21"/>
        <v>4050760</v>
      </c>
      <c r="CG28" s="20"/>
      <c r="CH28" s="20"/>
      <c r="CI28" s="20"/>
      <c r="CJ28" s="20"/>
      <c r="CL28" s="20"/>
      <c r="CM28" s="20"/>
      <c r="CN28" s="20"/>
      <c r="CO28" s="20"/>
      <c r="CP28" s="126"/>
      <c r="CQ28" s="138">
        <f t="shared" si="31"/>
        <v>44937.375</v>
      </c>
      <c r="CR28" s="126"/>
    </row>
    <row r="29" spans="1:96" ht="15.75" customHeight="1" x14ac:dyDescent="0.2">
      <c r="A29" s="40" t="s">
        <v>46</v>
      </c>
      <c r="B29" s="34" t="s">
        <v>47</v>
      </c>
      <c r="C29" s="35">
        <v>1</v>
      </c>
      <c r="D29" s="16">
        <f ca="1">IFERROR(__xludf.DUMMYFUNCTION("+C27*$B$2"),80)</f>
        <v>80</v>
      </c>
      <c r="E29" s="36">
        <v>48900</v>
      </c>
      <c r="F29" s="37">
        <f ca="1">IFERROR(__xludf.DUMMYFUNCTION("+E27*C27"),48900)</f>
        <v>48900</v>
      </c>
      <c r="G29" s="18">
        <f ca="1">IFERROR(__xludf.DUMMYFUNCTION("+E27*D27"),3912000)</f>
        <v>3912000</v>
      </c>
      <c r="H29" s="38"/>
      <c r="J29" s="20"/>
      <c r="K29" s="20"/>
      <c r="L29" s="20">
        <f ca="1">IFERROR(__xludf.DUMMYFUNCTION("+J27+K27"),0)</f>
        <v>0</v>
      </c>
      <c r="M29" s="20">
        <f ca="1">IFERROR(__xludf.DUMMYFUNCTION("+L27*$D27"),0)</f>
        <v>0</v>
      </c>
      <c r="O29" s="20"/>
      <c r="P29" s="20"/>
      <c r="Q29" s="20">
        <f ca="1">IFERROR(__xludf.DUMMYFUNCTION("+O27+P27"),0)</f>
        <v>0</v>
      </c>
      <c r="R29" s="20">
        <f ca="1">IFERROR(__xludf.DUMMYFUNCTION("+Q27*$D27"),0)</f>
        <v>0</v>
      </c>
      <c r="T29" s="20"/>
      <c r="U29" s="20"/>
      <c r="V29" s="20">
        <f ca="1">IFERROR(__xludf.DUMMYFUNCTION("+T27+U27"),0)</f>
        <v>0</v>
      </c>
      <c r="W29" s="20">
        <f ca="1">IFERROR(__xludf.DUMMYFUNCTION("+V27*$D27"),0)</f>
        <v>0</v>
      </c>
      <c r="Y29" s="20"/>
      <c r="Z29" s="20"/>
      <c r="AA29" s="20">
        <f ca="1">IFERROR(__xludf.DUMMYFUNCTION("+Y27+Z27"),0)</f>
        <v>0</v>
      </c>
      <c r="AB29" s="20">
        <f ca="1">IFERROR(__xludf.DUMMYFUNCTION("+AA27*$D27"),0)</f>
        <v>0</v>
      </c>
      <c r="AD29" s="20"/>
      <c r="AE29" s="20"/>
      <c r="AF29" s="20">
        <f ca="1">IFERROR(__xludf.DUMMYFUNCTION("+AD27+AE27"),0)</f>
        <v>0</v>
      </c>
      <c r="AG29" s="20">
        <f ca="1">IFERROR(__xludf.DUMMYFUNCTION("+AF27*$D27"),0)</f>
        <v>0</v>
      </c>
      <c r="AI29" s="20"/>
      <c r="AJ29" s="20"/>
      <c r="AK29" s="20">
        <f ca="1">IFERROR(__xludf.DUMMYFUNCTION("+AI27+AJ27"),0)</f>
        <v>0</v>
      </c>
      <c r="AL29" s="20">
        <f ca="1">IFERROR(__xludf.DUMMYFUNCTION("+AK27*$D27"),0)</f>
        <v>0</v>
      </c>
      <c r="AN29" s="20"/>
      <c r="AO29" s="20"/>
      <c r="AP29" s="20">
        <f ca="1">IFERROR(__xludf.DUMMYFUNCTION("+AN27+AO27"),0)</f>
        <v>0</v>
      </c>
      <c r="AQ29" s="20">
        <f ca="1">IFERROR(__xludf.DUMMYFUNCTION("+AP27*$D27"),0)</f>
        <v>0</v>
      </c>
      <c r="AS29" s="20"/>
      <c r="AT29" s="20"/>
      <c r="AU29" s="20">
        <f ca="1">IFERROR(__xludf.DUMMYFUNCTION("+AS27+AT27"),0)</f>
        <v>0</v>
      </c>
      <c r="AV29" s="20">
        <f ca="1">IFERROR(__xludf.DUMMYFUNCTION("+AU27*$D27"),0)</f>
        <v>0</v>
      </c>
      <c r="AX29" s="20"/>
      <c r="AY29" s="20"/>
      <c r="AZ29" s="20">
        <f ca="1">IFERROR(__xludf.DUMMYFUNCTION("+AX27+AY27"),0)</f>
        <v>0</v>
      </c>
      <c r="BA29" s="20">
        <f ca="1">IFERROR(__xludf.DUMMYFUNCTION("+AZ27*$D27"),0)</f>
        <v>0</v>
      </c>
      <c r="BC29" s="20"/>
      <c r="BD29" s="20"/>
      <c r="BE29" s="20">
        <f ca="1">IFERROR(__xludf.DUMMYFUNCTION("+BC27+BD27"),0)</f>
        <v>0</v>
      </c>
      <c r="BF29" s="20">
        <f ca="1">IFERROR(__xludf.DUMMYFUNCTION("+BE27*$D27"),0)</f>
        <v>0</v>
      </c>
      <c r="BH29" s="20"/>
      <c r="BI29" s="20"/>
      <c r="BJ29" s="20">
        <f ca="1">IFERROR(__xludf.DUMMYFUNCTION("+BH27+BI27"),0)</f>
        <v>0</v>
      </c>
      <c r="BK29" s="20">
        <f ca="1">IFERROR(__xludf.DUMMYFUNCTION("+BJ27*$D27"),0)</f>
        <v>0</v>
      </c>
      <c r="BM29" s="20">
        <v>48900</v>
      </c>
      <c r="BN29" s="20">
        <f t="shared" si="22"/>
        <v>9291</v>
      </c>
      <c r="BO29" s="20">
        <f t="shared" si="23"/>
        <v>58191</v>
      </c>
      <c r="BP29" s="20">
        <f t="shared" ca="1" si="24"/>
        <v>4655280</v>
      </c>
      <c r="BR29" s="20">
        <v>50000</v>
      </c>
      <c r="BS29" s="20">
        <f t="shared" si="33"/>
        <v>9500</v>
      </c>
      <c r="BT29" s="20">
        <f t="shared" si="26"/>
        <v>59500</v>
      </c>
      <c r="BU29" s="20">
        <f t="shared" ca="1" si="20"/>
        <v>4760000</v>
      </c>
      <c r="BW29" s="20">
        <f>BM29</f>
        <v>48900</v>
      </c>
      <c r="BX29" s="20">
        <f t="shared" si="27"/>
        <v>9291</v>
      </c>
      <c r="BY29" s="20">
        <f t="shared" si="28"/>
        <v>58191</v>
      </c>
      <c r="BZ29" s="20">
        <f t="shared" ca="1" si="32"/>
        <v>4655280</v>
      </c>
      <c r="CB29" s="20">
        <v>5175</v>
      </c>
      <c r="CC29" s="20">
        <f t="shared" si="29"/>
        <v>983.25</v>
      </c>
      <c r="CD29" s="20">
        <f t="shared" si="30"/>
        <v>6158.25</v>
      </c>
      <c r="CE29" s="20">
        <f t="shared" ca="1" si="21"/>
        <v>492660</v>
      </c>
      <c r="CG29" s="20"/>
      <c r="CH29" s="20"/>
      <c r="CI29" s="20"/>
      <c r="CJ29" s="20"/>
      <c r="CL29" s="20"/>
      <c r="CM29" s="20"/>
      <c r="CN29" s="20"/>
      <c r="CO29" s="20"/>
      <c r="CP29" s="126"/>
      <c r="CQ29" s="138">
        <f t="shared" si="31"/>
        <v>45510.0625</v>
      </c>
      <c r="CR29" s="126"/>
    </row>
    <row r="30" spans="1:96" ht="15.75" customHeight="1" x14ac:dyDescent="0.2">
      <c r="A30" s="40" t="s">
        <v>48</v>
      </c>
      <c r="B30" s="34" t="s">
        <v>49</v>
      </c>
      <c r="C30" s="35">
        <v>2</v>
      </c>
      <c r="D30" s="16">
        <f ca="1">IFERROR(__xludf.DUMMYFUNCTION("+C28*$B$2"),160)</f>
        <v>160</v>
      </c>
      <c r="E30" s="36">
        <v>11477.333333333334</v>
      </c>
      <c r="F30" s="37">
        <f ca="1">IFERROR(__xludf.DUMMYFUNCTION("+E28*C28"),22954.6666666666)</f>
        <v>22954.666666666599</v>
      </c>
      <c r="G30" s="18">
        <f ca="1">IFERROR(__xludf.DUMMYFUNCTION("+E28*D28"),1836373.33333333)</f>
        <v>1836373.33333333</v>
      </c>
      <c r="H30" s="38"/>
      <c r="J30" s="20"/>
      <c r="K30" s="20"/>
      <c r="L30" s="20">
        <f ca="1">IFERROR(__xludf.DUMMYFUNCTION("+J28+K28"),0)</f>
        <v>0</v>
      </c>
      <c r="M30" s="20">
        <f ca="1">IFERROR(__xludf.DUMMYFUNCTION("+L28*$D28"),0)</f>
        <v>0</v>
      </c>
      <c r="O30" s="20"/>
      <c r="P30" s="20"/>
      <c r="Q30" s="20">
        <f ca="1">IFERROR(__xludf.DUMMYFUNCTION("+O28+P28"),0)</f>
        <v>0</v>
      </c>
      <c r="R30" s="20">
        <f ca="1">IFERROR(__xludf.DUMMYFUNCTION("+Q28*$D28"),0)</f>
        <v>0</v>
      </c>
      <c r="T30" s="20"/>
      <c r="U30" s="20"/>
      <c r="V30" s="20">
        <f ca="1">IFERROR(__xludf.DUMMYFUNCTION("+T28+U28"),0)</f>
        <v>0</v>
      </c>
      <c r="W30" s="20">
        <f ca="1">IFERROR(__xludf.DUMMYFUNCTION("+V28*$D28"),0)</f>
        <v>0</v>
      </c>
      <c r="Y30" s="20"/>
      <c r="Z30" s="20"/>
      <c r="AA30" s="20">
        <f ca="1">IFERROR(__xludf.DUMMYFUNCTION("+Y28+Z28"),0)</f>
        <v>0</v>
      </c>
      <c r="AB30" s="20">
        <f ca="1">IFERROR(__xludf.DUMMYFUNCTION("+AA28*$D28"),0)</f>
        <v>0</v>
      </c>
      <c r="AD30" s="20"/>
      <c r="AE30" s="20"/>
      <c r="AF30" s="20">
        <f ca="1">IFERROR(__xludf.DUMMYFUNCTION("+AD28+AE28"),0)</f>
        <v>0</v>
      </c>
      <c r="AG30" s="20">
        <f ca="1">IFERROR(__xludf.DUMMYFUNCTION("+AF28*$D28"),0)</f>
        <v>0</v>
      </c>
      <c r="AI30" s="20"/>
      <c r="AJ30" s="20"/>
      <c r="AK30" s="20">
        <f ca="1">IFERROR(__xludf.DUMMYFUNCTION("+AI28+AJ28"),0)</f>
        <v>0</v>
      </c>
      <c r="AL30" s="20">
        <f ca="1">IFERROR(__xludf.DUMMYFUNCTION("+AK28*$D28"),0)</f>
        <v>0</v>
      </c>
      <c r="AN30" s="20"/>
      <c r="AO30" s="20"/>
      <c r="AP30" s="20">
        <f ca="1">IFERROR(__xludf.DUMMYFUNCTION("+AN28+AO28"),0)</f>
        <v>0</v>
      </c>
      <c r="AQ30" s="20">
        <f ca="1">IFERROR(__xludf.DUMMYFUNCTION("+AP28*$D28"),0)</f>
        <v>0</v>
      </c>
      <c r="AS30" s="20"/>
      <c r="AT30" s="20"/>
      <c r="AU30" s="20">
        <f ca="1">IFERROR(__xludf.DUMMYFUNCTION("+AS28+AT28"),0)</f>
        <v>0</v>
      </c>
      <c r="AV30" s="20">
        <f ca="1">IFERROR(__xludf.DUMMYFUNCTION("+AU28*$D28"),0)</f>
        <v>0</v>
      </c>
      <c r="AX30" s="20"/>
      <c r="AY30" s="20"/>
      <c r="AZ30" s="20">
        <f ca="1">IFERROR(__xludf.DUMMYFUNCTION("+AX28+AY28"),0)</f>
        <v>0</v>
      </c>
      <c r="BA30" s="20">
        <f ca="1">IFERROR(__xludf.DUMMYFUNCTION("+AZ28*$D28"),0)</f>
        <v>0</v>
      </c>
      <c r="BC30" s="20"/>
      <c r="BD30" s="20"/>
      <c r="BE30" s="20">
        <f ca="1">IFERROR(__xludf.DUMMYFUNCTION("+BC28+BD28"),0)</f>
        <v>0</v>
      </c>
      <c r="BF30" s="20">
        <f ca="1">IFERROR(__xludf.DUMMYFUNCTION("+BE28*$D28"),0)</f>
        <v>0</v>
      </c>
      <c r="BH30" s="20"/>
      <c r="BI30" s="20"/>
      <c r="BJ30" s="20">
        <f ca="1">IFERROR(__xludf.DUMMYFUNCTION("+BH28+BI28"),0)</f>
        <v>0</v>
      </c>
      <c r="BK30" s="20">
        <f ca="1">IFERROR(__xludf.DUMMYFUNCTION("+BJ28*$D28"),0)</f>
        <v>0</v>
      </c>
      <c r="BM30" s="20">
        <v>11477.33</v>
      </c>
      <c r="BN30" s="20">
        <f t="shared" si="22"/>
        <v>2180.6927000000001</v>
      </c>
      <c r="BO30" s="20">
        <f t="shared" si="23"/>
        <v>13658.0227</v>
      </c>
      <c r="BP30" s="20">
        <f t="shared" ca="1" si="24"/>
        <v>2185283.6319999998</v>
      </c>
      <c r="BR30" s="20">
        <v>13400</v>
      </c>
      <c r="BS30" s="20">
        <f t="shared" si="33"/>
        <v>2546</v>
      </c>
      <c r="BT30" s="20">
        <f t="shared" si="26"/>
        <v>15946</v>
      </c>
      <c r="BU30" s="20">
        <f t="shared" ca="1" si="20"/>
        <v>2551360</v>
      </c>
      <c r="BW30" s="20">
        <f>BM30</f>
        <v>11477.33</v>
      </c>
      <c r="BX30" s="20">
        <f t="shared" si="27"/>
        <v>2180.6927000000001</v>
      </c>
      <c r="BY30" s="20">
        <f t="shared" si="28"/>
        <v>13658.0227</v>
      </c>
      <c r="BZ30" s="20">
        <f t="shared" ca="1" si="32"/>
        <v>2185283.6319999998</v>
      </c>
      <c r="CB30" s="20">
        <v>9200</v>
      </c>
      <c r="CC30" s="20">
        <f t="shared" si="29"/>
        <v>1748</v>
      </c>
      <c r="CD30" s="20">
        <f t="shared" si="30"/>
        <v>10948</v>
      </c>
      <c r="CE30" s="20">
        <f t="shared" ca="1" si="21"/>
        <v>1751680</v>
      </c>
      <c r="CG30" s="20"/>
      <c r="CH30" s="20"/>
      <c r="CI30" s="20"/>
      <c r="CJ30" s="20"/>
      <c r="CL30" s="20"/>
      <c r="CM30" s="20"/>
      <c r="CN30" s="20"/>
      <c r="CO30" s="20"/>
      <c r="CP30" s="126"/>
      <c r="CQ30" s="138">
        <f t="shared" si="31"/>
        <v>13552.511350000001</v>
      </c>
      <c r="CR30" s="126"/>
    </row>
    <row r="31" spans="1:96" ht="15.75" customHeight="1" x14ac:dyDescent="0.2">
      <c r="A31" s="40" t="s">
        <v>50</v>
      </c>
      <c r="B31" s="34" t="s">
        <v>51</v>
      </c>
      <c r="C31" s="35">
        <v>3</v>
      </c>
      <c r="D31" s="16">
        <f ca="1">IFERROR(__xludf.DUMMYFUNCTION("+C29*$B$2"),240)</f>
        <v>240</v>
      </c>
      <c r="E31" s="36">
        <v>4060</v>
      </c>
      <c r="F31" s="37">
        <f ca="1">IFERROR(__xludf.DUMMYFUNCTION("+E29*C29"),12180)</f>
        <v>12180</v>
      </c>
      <c r="G31" s="18">
        <f ca="1">IFERROR(__xludf.DUMMYFUNCTION("+E29*D29"),974400)</f>
        <v>974400</v>
      </c>
      <c r="H31" s="38"/>
      <c r="J31" s="20"/>
      <c r="K31" s="20"/>
      <c r="L31" s="20">
        <f ca="1">IFERROR(__xludf.DUMMYFUNCTION("+J29+K29"),0)</f>
        <v>0</v>
      </c>
      <c r="M31" s="20">
        <f ca="1">IFERROR(__xludf.DUMMYFUNCTION("+L29*$D29"),0)</f>
        <v>0</v>
      </c>
      <c r="O31" s="20"/>
      <c r="P31" s="20"/>
      <c r="Q31" s="20">
        <f ca="1">IFERROR(__xludf.DUMMYFUNCTION("+O29+P29"),0)</f>
        <v>0</v>
      </c>
      <c r="R31" s="20">
        <f ca="1">IFERROR(__xludf.DUMMYFUNCTION("+Q29*$D29"),0)</f>
        <v>0</v>
      </c>
      <c r="T31" s="20"/>
      <c r="U31" s="20"/>
      <c r="V31" s="20">
        <f ca="1">IFERROR(__xludf.DUMMYFUNCTION("+T29+U29"),0)</f>
        <v>0</v>
      </c>
      <c r="W31" s="20">
        <f ca="1">IFERROR(__xludf.DUMMYFUNCTION("+V29*$D29"),0)</f>
        <v>0</v>
      </c>
      <c r="Y31" s="20"/>
      <c r="Z31" s="20"/>
      <c r="AA31" s="20">
        <f ca="1">IFERROR(__xludf.DUMMYFUNCTION("+Y29+Z29"),0)</f>
        <v>0</v>
      </c>
      <c r="AB31" s="20">
        <f ca="1">IFERROR(__xludf.DUMMYFUNCTION("+AA29*$D29"),0)</f>
        <v>0</v>
      </c>
      <c r="AD31" s="20"/>
      <c r="AE31" s="20"/>
      <c r="AF31" s="20">
        <f ca="1">IFERROR(__xludf.DUMMYFUNCTION("+AD29+AE29"),0)</f>
        <v>0</v>
      </c>
      <c r="AG31" s="20">
        <f ca="1">IFERROR(__xludf.DUMMYFUNCTION("+AF29*$D29"),0)</f>
        <v>0</v>
      </c>
      <c r="AI31" s="20"/>
      <c r="AJ31" s="20"/>
      <c r="AK31" s="20">
        <f ca="1">IFERROR(__xludf.DUMMYFUNCTION("+AI29+AJ29"),0)</f>
        <v>0</v>
      </c>
      <c r="AL31" s="20">
        <f ca="1">IFERROR(__xludf.DUMMYFUNCTION("+AK29*$D29"),0)</f>
        <v>0</v>
      </c>
      <c r="AN31" s="20"/>
      <c r="AO31" s="20"/>
      <c r="AP31" s="20">
        <f ca="1">IFERROR(__xludf.DUMMYFUNCTION("+AN29+AO29"),0)</f>
        <v>0</v>
      </c>
      <c r="AQ31" s="20">
        <f ca="1">IFERROR(__xludf.DUMMYFUNCTION("+AP29*$D29"),0)</f>
        <v>0</v>
      </c>
      <c r="AS31" s="20"/>
      <c r="AT31" s="20"/>
      <c r="AU31" s="20">
        <f ca="1">IFERROR(__xludf.DUMMYFUNCTION("+AS29+AT29"),0)</f>
        <v>0</v>
      </c>
      <c r="AV31" s="20">
        <f ca="1">IFERROR(__xludf.DUMMYFUNCTION("+AU29*$D29"),0)</f>
        <v>0</v>
      </c>
      <c r="AX31" s="20"/>
      <c r="AY31" s="20"/>
      <c r="AZ31" s="20">
        <f ca="1">IFERROR(__xludf.DUMMYFUNCTION("+AX29+AY29"),0)</f>
        <v>0</v>
      </c>
      <c r="BA31" s="20">
        <f ca="1">IFERROR(__xludf.DUMMYFUNCTION("+AZ29*$D29"),0)</f>
        <v>0</v>
      </c>
      <c r="BC31" s="20"/>
      <c r="BD31" s="20"/>
      <c r="BE31" s="20">
        <f ca="1">IFERROR(__xludf.DUMMYFUNCTION("+BC29+BD29"),0)</f>
        <v>0</v>
      </c>
      <c r="BF31" s="20">
        <f ca="1">IFERROR(__xludf.DUMMYFUNCTION("+BE29*$D29"),0)</f>
        <v>0</v>
      </c>
      <c r="BH31" s="20"/>
      <c r="BI31" s="20"/>
      <c r="BJ31" s="20">
        <f ca="1">IFERROR(__xludf.DUMMYFUNCTION("+BH29+BI29"),0)</f>
        <v>0</v>
      </c>
      <c r="BK31" s="20">
        <f ca="1">IFERROR(__xludf.DUMMYFUNCTION("+BJ29*$D29"),0)</f>
        <v>0</v>
      </c>
      <c r="BM31" s="20">
        <v>4060</v>
      </c>
      <c r="BN31" s="20">
        <f t="shared" si="22"/>
        <v>771.4</v>
      </c>
      <c r="BO31" s="20">
        <f t="shared" si="23"/>
        <v>4831.3999999999996</v>
      </c>
      <c r="BP31" s="20">
        <f t="shared" ca="1" si="24"/>
        <v>1159536</v>
      </c>
      <c r="BR31" s="20">
        <v>6000</v>
      </c>
      <c r="BS31" s="20">
        <f t="shared" si="33"/>
        <v>1140</v>
      </c>
      <c r="BT31" s="20">
        <f t="shared" si="26"/>
        <v>7140</v>
      </c>
      <c r="BU31" s="20">
        <f t="shared" ca="1" si="20"/>
        <v>1713600</v>
      </c>
      <c r="BW31" s="20">
        <v>9000</v>
      </c>
      <c r="BX31" s="20">
        <f t="shared" si="27"/>
        <v>1710</v>
      </c>
      <c r="BY31" s="20">
        <f t="shared" si="28"/>
        <v>10710</v>
      </c>
      <c r="BZ31" s="20">
        <f t="shared" ca="1" si="32"/>
        <v>2570400</v>
      </c>
      <c r="CB31" s="20">
        <v>5495</v>
      </c>
      <c r="CC31" s="20">
        <f t="shared" si="29"/>
        <v>1044.05</v>
      </c>
      <c r="CD31" s="20">
        <f t="shared" si="30"/>
        <v>6539.05</v>
      </c>
      <c r="CE31" s="20">
        <f t="shared" ca="1" si="21"/>
        <v>1569372</v>
      </c>
      <c r="CG31" s="20"/>
      <c r="CH31" s="20"/>
      <c r="CI31" s="20"/>
      <c r="CJ31" s="20"/>
      <c r="CL31" s="20"/>
      <c r="CM31" s="20"/>
      <c r="CN31" s="20"/>
      <c r="CO31" s="20"/>
      <c r="CP31" s="126"/>
      <c r="CQ31" s="138">
        <f t="shared" si="31"/>
        <v>7305.1125000000002</v>
      </c>
      <c r="CR31" s="126"/>
    </row>
    <row r="32" spans="1:96" ht="15.75" customHeight="1" x14ac:dyDescent="0.2">
      <c r="A32" s="40" t="s">
        <v>52</v>
      </c>
      <c r="B32" s="34" t="s">
        <v>51</v>
      </c>
      <c r="C32" s="35">
        <v>2</v>
      </c>
      <c r="D32" s="16">
        <f ca="1">IFERROR(__xludf.DUMMYFUNCTION("+C30*$B$2"),160)</f>
        <v>160</v>
      </c>
      <c r="E32" s="36">
        <v>32000</v>
      </c>
      <c r="F32" s="37">
        <f ca="1">IFERROR(__xludf.DUMMYFUNCTION("+E30*C30"),64000)</f>
        <v>64000</v>
      </c>
      <c r="G32" s="18">
        <f ca="1">IFERROR(__xludf.DUMMYFUNCTION("+E30*D30"),5120000)</f>
        <v>5120000</v>
      </c>
      <c r="H32" s="38"/>
      <c r="J32" s="20"/>
      <c r="K32" s="20"/>
      <c r="L32" s="20">
        <f ca="1">IFERROR(__xludf.DUMMYFUNCTION("+J30+K30"),0)</f>
        <v>0</v>
      </c>
      <c r="M32" s="20">
        <f ca="1">IFERROR(__xludf.DUMMYFUNCTION("+L30*$D30"),0)</f>
        <v>0</v>
      </c>
      <c r="O32" s="20"/>
      <c r="P32" s="20"/>
      <c r="Q32" s="20">
        <f ca="1">IFERROR(__xludf.DUMMYFUNCTION("+O30+P30"),0)</f>
        <v>0</v>
      </c>
      <c r="R32" s="20">
        <f ca="1">IFERROR(__xludf.DUMMYFUNCTION("+Q30*$D30"),0)</f>
        <v>0</v>
      </c>
      <c r="T32" s="20"/>
      <c r="U32" s="20"/>
      <c r="V32" s="20">
        <f ca="1">IFERROR(__xludf.DUMMYFUNCTION("+T30+U30"),0)</f>
        <v>0</v>
      </c>
      <c r="W32" s="20">
        <f ca="1">IFERROR(__xludf.DUMMYFUNCTION("+V30*$D30"),0)</f>
        <v>0</v>
      </c>
      <c r="Y32" s="20"/>
      <c r="Z32" s="20"/>
      <c r="AA32" s="20">
        <f ca="1">IFERROR(__xludf.DUMMYFUNCTION("+Y30+Z30"),0)</f>
        <v>0</v>
      </c>
      <c r="AB32" s="20">
        <f ca="1">IFERROR(__xludf.DUMMYFUNCTION("+AA30*$D30"),0)</f>
        <v>0</v>
      </c>
      <c r="AD32" s="20"/>
      <c r="AE32" s="20"/>
      <c r="AF32" s="20">
        <f ca="1">IFERROR(__xludf.DUMMYFUNCTION("+AD30+AE30"),0)</f>
        <v>0</v>
      </c>
      <c r="AG32" s="20">
        <f ca="1">IFERROR(__xludf.DUMMYFUNCTION("+AF30*$D30"),0)</f>
        <v>0</v>
      </c>
      <c r="AI32" s="20"/>
      <c r="AJ32" s="20"/>
      <c r="AK32" s="20">
        <f ca="1">IFERROR(__xludf.DUMMYFUNCTION("+AI30+AJ30"),0)</f>
        <v>0</v>
      </c>
      <c r="AL32" s="20">
        <f ca="1">IFERROR(__xludf.DUMMYFUNCTION("+AK30*$D30"),0)</f>
        <v>0</v>
      </c>
      <c r="AN32" s="20"/>
      <c r="AO32" s="20"/>
      <c r="AP32" s="20">
        <f ca="1">IFERROR(__xludf.DUMMYFUNCTION("+AN30+AO30"),0)</f>
        <v>0</v>
      </c>
      <c r="AQ32" s="20">
        <f ca="1">IFERROR(__xludf.DUMMYFUNCTION("+AP30*$D30"),0)</f>
        <v>0</v>
      </c>
      <c r="AS32" s="20"/>
      <c r="AT32" s="20"/>
      <c r="AU32" s="20">
        <f ca="1">IFERROR(__xludf.DUMMYFUNCTION("+AS30+AT30"),0)</f>
        <v>0</v>
      </c>
      <c r="AV32" s="20">
        <f ca="1">IFERROR(__xludf.DUMMYFUNCTION("+AU30*$D30"),0)</f>
        <v>0</v>
      </c>
      <c r="AX32" s="20"/>
      <c r="AY32" s="20"/>
      <c r="AZ32" s="20">
        <f ca="1">IFERROR(__xludf.DUMMYFUNCTION("+AX30+AY30"),0)</f>
        <v>0</v>
      </c>
      <c r="BA32" s="20">
        <f ca="1">IFERROR(__xludf.DUMMYFUNCTION("+AZ30*$D30"),0)</f>
        <v>0</v>
      </c>
      <c r="BC32" s="20"/>
      <c r="BD32" s="20"/>
      <c r="BE32" s="20">
        <f ca="1">IFERROR(__xludf.DUMMYFUNCTION("+BC30+BD30"),0)</f>
        <v>0</v>
      </c>
      <c r="BF32" s="20">
        <f ca="1">IFERROR(__xludf.DUMMYFUNCTION("+BE30*$D30"),0)</f>
        <v>0</v>
      </c>
      <c r="BH32" s="20"/>
      <c r="BI32" s="20"/>
      <c r="BJ32" s="20">
        <f ca="1">IFERROR(__xludf.DUMMYFUNCTION("+BH30+BI30"),0)</f>
        <v>0</v>
      </c>
      <c r="BK32" s="20">
        <f ca="1">IFERROR(__xludf.DUMMYFUNCTION("+BJ30*$D30"),0)</f>
        <v>0</v>
      </c>
      <c r="BM32" s="20">
        <v>32000</v>
      </c>
      <c r="BN32" s="20">
        <f t="shared" si="22"/>
        <v>6080</v>
      </c>
      <c r="BO32" s="20">
        <f t="shared" si="23"/>
        <v>38080</v>
      </c>
      <c r="BP32" s="20">
        <f t="shared" ca="1" si="24"/>
        <v>6092800</v>
      </c>
      <c r="BR32" s="20">
        <v>40000</v>
      </c>
      <c r="BS32" s="20">
        <f t="shared" si="33"/>
        <v>7600</v>
      </c>
      <c r="BT32" s="20">
        <f t="shared" si="26"/>
        <v>47600</v>
      </c>
      <c r="BU32" s="20">
        <f t="shared" ca="1" si="20"/>
        <v>7616000</v>
      </c>
      <c r="BW32" s="20">
        <f t="shared" ref="BW32:BW39" si="34">BM32</f>
        <v>32000</v>
      </c>
      <c r="BX32" s="20">
        <f>BW32*0.19</f>
        <v>6080</v>
      </c>
      <c r="BY32" s="20">
        <f>BW32+BX32</f>
        <v>38080</v>
      </c>
      <c r="BZ32" s="20">
        <f t="shared" ca="1" si="32"/>
        <v>6092800</v>
      </c>
      <c r="CB32" s="20">
        <v>24149.999999999996</v>
      </c>
      <c r="CC32" s="20">
        <f t="shared" si="29"/>
        <v>4588.4999999999991</v>
      </c>
      <c r="CD32" s="20">
        <f t="shared" si="30"/>
        <v>28738.499999999996</v>
      </c>
      <c r="CE32" s="20">
        <f t="shared" ca="1" si="21"/>
        <v>4598159.9999999991</v>
      </c>
      <c r="CG32" s="20"/>
      <c r="CH32" s="20"/>
      <c r="CI32" s="20"/>
      <c r="CJ32" s="20"/>
      <c r="CL32" s="20"/>
      <c r="CM32" s="20"/>
      <c r="CN32" s="20"/>
      <c r="CO32" s="20"/>
      <c r="CP32" s="126"/>
      <c r="CQ32" s="138">
        <f t="shared" si="31"/>
        <v>38124.625</v>
      </c>
      <c r="CR32" s="126"/>
    </row>
    <row r="33" spans="1:96" ht="15.75" customHeight="1" x14ac:dyDescent="0.2">
      <c r="A33" s="40" t="s">
        <v>53</v>
      </c>
      <c r="B33" s="34" t="s">
        <v>54</v>
      </c>
      <c r="C33" s="35">
        <v>2</v>
      </c>
      <c r="D33" s="16">
        <f ca="1">IFERROR(__xludf.DUMMYFUNCTION("+C31*$B$2"),160)</f>
        <v>160</v>
      </c>
      <c r="E33" s="36">
        <v>4201</v>
      </c>
      <c r="F33" s="37">
        <f ca="1">IFERROR(__xludf.DUMMYFUNCTION("+E31*C31"),8402)</f>
        <v>8402</v>
      </c>
      <c r="G33" s="18">
        <f ca="1">IFERROR(__xludf.DUMMYFUNCTION("+E31*D31"),672160)</f>
        <v>672160</v>
      </c>
      <c r="H33" s="38"/>
      <c r="J33" s="20"/>
      <c r="K33" s="20"/>
      <c r="L33" s="20">
        <f ca="1">IFERROR(__xludf.DUMMYFUNCTION("+J31+K31"),0)</f>
        <v>0</v>
      </c>
      <c r="M33" s="20">
        <f ca="1">IFERROR(__xludf.DUMMYFUNCTION("+L31*$D31"),0)</f>
        <v>0</v>
      </c>
      <c r="O33" s="20"/>
      <c r="P33" s="20"/>
      <c r="Q33" s="20">
        <f ca="1">IFERROR(__xludf.DUMMYFUNCTION("+O31+P31"),0)</f>
        <v>0</v>
      </c>
      <c r="R33" s="20">
        <f ca="1">IFERROR(__xludf.DUMMYFUNCTION("+Q31*$D31"),0)</f>
        <v>0</v>
      </c>
      <c r="T33" s="20"/>
      <c r="U33" s="20"/>
      <c r="V33" s="20">
        <f ca="1">IFERROR(__xludf.DUMMYFUNCTION("+T31+U31"),0)</f>
        <v>0</v>
      </c>
      <c r="W33" s="20">
        <f ca="1">IFERROR(__xludf.DUMMYFUNCTION("+V31*$D31"),0)</f>
        <v>0</v>
      </c>
      <c r="Y33" s="20"/>
      <c r="Z33" s="20"/>
      <c r="AA33" s="20">
        <f ca="1">IFERROR(__xludf.DUMMYFUNCTION("+Y31+Z31"),0)</f>
        <v>0</v>
      </c>
      <c r="AB33" s="20">
        <f ca="1">IFERROR(__xludf.DUMMYFUNCTION("+AA31*$D31"),0)</f>
        <v>0</v>
      </c>
      <c r="AD33" s="20"/>
      <c r="AE33" s="20"/>
      <c r="AF33" s="20">
        <f ca="1">IFERROR(__xludf.DUMMYFUNCTION("+AD31+AE31"),0)</f>
        <v>0</v>
      </c>
      <c r="AG33" s="20">
        <f ca="1">IFERROR(__xludf.DUMMYFUNCTION("+AF31*$D31"),0)</f>
        <v>0</v>
      </c>
      <c r="AI33" s="20"/>
      <c r="AJ33" s="20"/>
      <c r="AK33" s="20">
        <f ca="1">IFERROR(__xludf.DUMMYFUNCTION("+AI31+AJ31"),0)</f>
        <v>0</v>
      </c>
      <c r="AL33" s="20">
        <f ca="1">IFERROR(__xludf.DUMMYFUNCTION("+AK31*$D31"),0)</f>
        <v>0</v>
      </c>
      <c r="AN33" s="20"/>
      <c r="AO33" s="20"/>
      <c r="AP33" s="20">
        <f ca="1">IFERROR(__xludf.DUMMYFUNCTION("+AN31+AO31"),0)</f>
        <v>0</v>
      </c>
      <c r="AQ33" s="20">
        <f ca="1">IFERROR(__xludf.DUMMYFUNCTION("+AP31*$D31"),0)</f>
        <v>0</v>
      </c>
      <c r="AS33" s="20"/>
      <c r="AT33" s="20"/>
      <c r="AU33" s="20">
        <f ca="1">IFERROR(__xludf.DUMMYFUNCTION("+AS31+AT31"),0)</f>
        <v>0</v>
      </c>
      <c r="AV33" s="20">
        <f ca="1">IFERROR(__xludf.DUMMYFUNCTION("+AU31*$D31"),0)</f>
        <v>0</v>
      </c>
      <c r="AX33" s="20"/>
      <c r="AY33" s="20"/>
      <c r="AZ33" s="20">
        <f ca="1">IFERROR(__xludf.DUMMYFUNCTION("+AX31+AY31"),0)</f>
        <v>0</v>
      </c>
      <c r="BA33" s="20">
        <f ca="1">IFERROR(__xludf.DUMMYFUNCTION("+AZ31*$D31"),0)</f>
        <v>0</v>
      </c>
      <c r="BC33" s="20"/>
      <c r="BD33" s="20"/>
      <c r="BE33" s="20">
        <f ca="1">IFERROR(__xludf.DUMMYFUNCTION("+BC31+BD31"),0)</f>
        <v>0</v>
      </c>
      <c r="BF33" s="20">
        <f ca="1">IFERROR(__xludf.DUMMYFUNCTION("+BE31*$D31"),0)</f>
        <v>0</v>
      </c>
      <c r="BH33" s="20"/>
      <c r="BI33" s="20"/>
      <c r="BJ33" s="20">
        <f ca="1">IFERROR(__xludf.DUMMYFUNCTION("+BH31+BI31"),0)</f>
        <v>0</v>
      </c>
      <c r="BK33" s="20">
        <f ca="1">IFERROR(__xludf.DUMMYFUNCTION("+BJ31*$D31"),0)</f>
        <v>0</v>
      </c>
      <c r="BM33" s="20">
        <v>14500</v>
      </c>
      <c r="BN33" s="20">
        <f t="shared" si="22"/>
        <v>2755</v>
      </c>
      <c r="BO33" s="20">
        <f t="shared" si="23"/>
        <v>17255</v>
      </c>
      <c r="BP33" s="20">
        <f t="shared" ca="1" si="24"/>
        <v>2760800</v>
      </c>
      <c r="BR33" s="20">
        <v>16000</v>
      </c>
      <c r="BS33" s="20">
        <f t="shared" si="33"/>
        <v>3040</v>
      </c>
      <c r="BT33" s="20">
        <f t="shared" si="26"/>
        <v>19040</v>
      </c>
      <c r="BU33" s="20">
        <f t="shared" ca="1" si="20"/>
        <v>3046400</v>
      </c>
      <c r="BW33" s="20">
        <f t="shared" si="34"/>
        <v>14500</v>
      </c>
      <c r="BX33" s="20">
        <f>BW33*0.19</f>
        <v>2755</v>
      </c>
      <c r="BY33" s="20">
        <f>BW33+BX33</f>
        <v>17255</v>
      </c>
      <c r="BZ33" s="20">
        <f t="shared" ca="1" si="32"/>
        <v>2760800</v>
      </c>
      <c r="CB33" s="20">
        <v>13799.999999999998</v>
      </c>
      <c r="CC33" s="20">
        <f t="shared" si="29"/>
        <v>2621.9999999999995</v>
      </c>
      <c r="CD33" s="20">
        <f t="shared" si="30"/>
        <v>16421.999999999996</v>
      </c>
      <c r="CE33" s="20">
        <f t="shared" ca="1" si="21"/>
        <v>2627519.9999999995</v>
      </c>
      <c r="CG33" s="20"/>
      <c r="CH33" s="20"/>
      <c r="CI33" s="20"/>
      <c r="CJ33" s="20"/>
      <c r="CL33" s="20"/>
      <c r="CM33" s="20"/>
      <c r="CN33" s="20"/>
      <c r="CO33" s="20"/>
      <c r="CP33" s="126"/>
      <c r="CQ33" s="138">
        <f t="shared" si="31"/>
        <v>17493</v>
      </c>
      <c r="CR33" s="126"/>
    </row>
    <row r="34" spans="1:96" ht="15.75" customHeight="1" x14ac:dyDescent="0.2">
      <c r="A34" s="40" t="s">
        <v>55</v>
      </c>
      <c r="B34" s="34" t="s">
        <v>51</v>
      </c>
      <c r="C34" s="35">
        <v>1</v>
      </c>
      <c r="D34" s="16">
        <f ca="1">IFERROR(__xludf.DUMMYFUNCTION("+C32*$B$2"),80)</f>
        <v>80</v>
      </c>
      <c r="E34" s="41">
        <v>4576</v>
      </c>
      <c r="F34" s="37">
        <f ca="1">IFERROR(__xludf.DUMMYFUNCTION("+E32*C32"),4576)</f>
        <v>4576</v>
      </c>
      <c r="G34" s="18">
        <f ca="1">IFERROR(__xludf.DUMMYFUNCTION("+E32*D32"),366080)</f>
        <v>366080</v>
      </c>
      <c r="H34" s="38"/>
      <c r="J34" s="20"/>
      <c r="K34" s="20"/>
      <c r="L34" s="20">
        <f ca="1">IFERROR(__xludf.DUMMYFUNCTION("+J32+K32"),0)</f>
        <v>0</v>
      </c>
      <c r="M34" s="20">
        <f ca="1">IFERROR(__xludf.DUMMYFUNCTION("+L32*$D32"),0)</f>
        <v>0</v>
      </c>
      <c r="O34" s="20"/>
      <c r="P34" s="20"/>
      <c r="Q34" s="20">
        <f ca="1">IFERROR(__xludf.DUMMYFUNCTION("+O32+P32"),0)</f>
        <v>0</v>
      </c>
      <c r="R34" s="20">
        <f ca="1">IFERROR(__xludf.DUMMYFUNCTION("+Q32*$D32"),0)</f>
        <v>0</v>
      </c>
      <c r="T34" s="20"/>
      <c r="U34" s="20"/>
      <c r="V34" s="20">
        <f ca="1">IFERROR(__xludf.DUMMYFUNCTION("+T32+U32"),0)</f>
        <v>0</v>
      </c>
      <c r="W34" s="20">
        <f ca="1">IFERROR(__xludf.DUMMYFUNCTION("+V32*$D32"),0)</f>
        <v>0</v>
      </c>
      <c r="Y34" s="20"/>
      <c r="Z34" s="20"/>
      <c r="AA34" s="20">
        <f ca="1">IFERROR(__xludf.DUMMYFUNCTION("+Y32+Z32"),0)</f>
        <v>0</v>
      </c>
      <c r="AB34" s="20">
        <f ca="1">IFERROR(__xludf.DUMMYFUNCTION("+AA32*$D32"),0)</f>
        <v>0</v>
      </c>
      <c r="AD34" s="20"/>
      <c r="AE34" s="20"/>
      <c r="AF34" s="20">
        <f ca="1">IFERROR(__xludf.DUMMYFUNCTION("+AD32+AE32"),0)</f>
        <v>0</v>
      </c>
      <c r="AG34" s="20">
        <f ca="1">IFERROR(__xludf.DUMMYFUNCTION("+AF32*$D32"),0)</f>
        <v>0</v>
      </c>
      <c r="AI34" s="20"/>
      <c r="AJ34" s="20"/>
      <c r="AK34" s="20">
        <f ca="1">IFERROR(__xludf.DUMMYFUNCTION("+AI32+AJ32"),0)</f>
        <v>0</v>
      </c>
      <c r="AL34" s="20">
        <f ca="1">IFERROR(__xludf.DUMMYFUNCTION("+AK32*$D32"),0)</f>
        <v>0</v>
      </c>
      <c r="AN34" s="20"/>
      <c r="AO34" s="20"/>
      <c r="AP34" s="20">
        <f ca="1">IFERROR(__xludf.DUMMYFUNCTION("+AN32+AO32"),0)</f>
        <v>0</v>
      </c>
      <c r="AQ34" s="20">
        <f ca="1">IFERROR(__xludf.DUMMYFUNCTION("+AP32*$D32"),0)</f>
        <v>0</v>
      </c>
      <c r="AS34" s="20"/>
      <c r="AT34" s="20"/>
      <c r="AU34" s="20">
        <f ca="1">IFERROR(__xludf.DUMMYFUNCTION("+AS32+AT32"),0)</f>
        <v>0</v>
      </c>
      <c r="AV34" s="20">
        <f ca="1">IFERROR(__xludf.DUMMYFUNCTION("+AU32*$D32"),0)</f>
        <v>0</v>
      </c>
      <c r="AX34" s="20"/>
      <c r="AY34" s="20"/>
      <c r="AZ34" s="20">
        <f ca="1">IFERROR(__xludf.DUMMYFUNCTION("+AX32+AY32"),0)</f>
        <v>0</v>
      </c>
      <c r="BA34" s="20">
        <f ca="1">IFERROR(__xludf.DUMMYFUNCTION("+AZ32*$D32"),0)</f>
        <v>0</v>
      </c>
      <c r="BC34" s="20"/>
      <c r="BD34" s="20"/>
      <c r="BE34" s="20">
        <f ca="1">IFERROR(__xludf.DUMMYFUNCTION("+BC32+BD32"),0)</f>
        <v>0</v>
      </c>
      <c r="BF34" s="20">
        <f ca="1">IFERROR(__xludf.DUMMYFUNCTION("+BE32*$D32"),0)</f>
        <v>0</v>
      </c>
      <c r="BH34" s="20"/>
      <c r="BI34" s="20"/>
      <c r="BJ34" s="20">
        <f ca="1">IFERROR(__xludf.DUMMYFUNCTION("+BH32+BI32"),0)</f>
        <v>0</v>
      </c>
      <c r="BK34" s="20">
        <f ca="1">IFERROR(__xludf.DUMMYFUNCTION("+BJ32*$D32"),0)</f>
        <v>0</v>
      </c>
      <c r="BM34" s="20">
        <v>4576</v>
      </c>
      <c r="BN34" s="20">
        <f t="shared" si="22"/>
        <v>869.44</v>
      </c>
      <c r="BO34" s="20">
        <f t="shared" si="23"/>
        <v>5445.4400000000005</v>
      </c>
      <c r="BP34" s="20">
        <f t="shared" ca="1" si="24"/>
        <v>435635.20000000007</v>
      </c>
      <c r="BR34" s="20">
        <v>7000</v>
      </c>
      <c r="BS34" s="20">
        <f t="shared" si="33"/>
        <v>1330</v>
      </c>
      <c r="BT34" s="20">
        <f t="shared" si="26"/>
        <v>8330</v>
      </c>
      <c r="BU34" s="20">
        <f t="shared" ca="1" si="20"/>
        <v>666400</v>
      </c>
      <c r="BW34" s="20">
        <f t="shared" si="34"/>
        <v>4576</v>
      </c>
      <c r="BX34" s="20">
        <f t="shared" si="27"/>
        <v>869.44</v>
      </c>
      <c r="BY34" s="20">
        <f t="shared" si="28"/>
        <v>5445.4400000000005</v>
      </c>
      <c r="BZ34" s="20">
        <f t="shared" ca="1" si="32"/>
        <v>435635.20000000007</v>
      </c>
      <c r="CB34" s="20">
        <v>4576</v>
      </c>
      <c r="CC34" s="20">
        <f t="shared" si="29"/>
        <v>869.44</v>
      </c>
      <c r="CD34" s="20">
        <f t="shared" si="30"/>
        <v>5445.4400000000005</v>
      </c>
      <c r="CE34" s="20">
        <f t="shared" ca="1" si="21"/>
        <v>435635.20000000007</v>
      </c>
      <c r="CG34" s="20"/>
      <c r="CH34" s="20"/>
      <c r="CI34" s="20"/>
      <c r="CJ34" s="20"/>
      <c r="CL34" s="20"/>
      <c r="CM34" s="20"/>
      <c r="CN34" s="20"/>
      <c r="CO34" s="20"/>
      <c r="CP34" s="126"/>
      <c r="CQ34" s="138">
        <f t="shared" si="31"/>
        <v>6166.58</v>
      </c>
      <c r="CR34" s="126"/>
    </row>
    <row r="35" spans="1:96" ht="15.75" customHeight="1" x14ac:dyDescent="0.2">
      <c r="A35" s="40" t="s">
        <v>56</v>
      </c>
      <c r="B35" s="34" t="s">
        <v>51</v>
      </c>
      <c r="C35" s="35">
        <v>2</v>
      </c>
      <c r="D35" s="16">
        <f ca="1">IFERROR(__xludf.DUMMYFUNCTION("+C33*$B$2"),160)</f>
        <v>160</v>
      </c>
      <c r="E35" s="36">
        <v>18400</v>
      </c>
      <c r="F35" s="37">
        <f ca="1">IFERROR(__xludf.DUMMYFUNCTION("+E33*C33"),36800)</f>
        <v>36800</v>
      </c>
      <c r="G35" s="18">
        <f ca="1">IFERROR(__xludf.DUMMYFUNCTION("+E33*D33"),2944000)</f>
        <v>2944000</v>
      </c>
      <c r="H35" s="38"/>
      <c r="J35" s="20"/>
      <c r="K35" s="20"/>
      <c r="L35" s="20">
        <f ca="1">IFERROR(__xludf.DUMMYFUNCTION("+J33+K33"),0)</f>
        <v>0</v>
      </c>
      <c r="M35" s="20">
        <f ca="1">IFERROR(__xludf.DUMMYFUNCTION("+L33*$D33"),0)</f>
        <v>0</v>
      </c>
      <c r="O35" s="20"/>
      <c r="P35" s="20"/>
      <c r="Q35" s="20">
        <f ca="1">IFERROR(__xludf.DUMMYFUNCTION("+O33+P33"),0)</f>
        <v>0</v>
      </c>
      <c r="R35" s="20">
        <f ca="1">IFERROR(__xludf.DUMMYFUNCTION("+Q33*$D33"),0)</f>
        <v>0</v>
      </c>
      <c r="T35" s="20"/>
      <c r="U35" s="20"/>
      <c r="V35" s="20">
        <f ca="1">IFERROR(__xludf.DUMMYFUNCTION("+T33+U33"),0)</f>
        <v>0</v>
      </c>
      <c r="W35" s="20">
        <f ca="1">IFERROR(__xludf.DUMMYFUNCTION("+V33*$D33"),0)</f>
        <v>0</v>
      </c>
      <c r="Y35" s="20"/>
      <c r="Z35" s="20"/>
      <c r="AA35" s="20">
        <f ca="1">IFERROR(__xludf.DUMMYFUNCTION("+Y33+Z33"),0)</f>
        <v>0</v>
      </c>
      <c r="AB35" s="20">
        <f ca="1">IFERROR(__xludf.DUMMYFUNCTION("+AA33*$D33"),0)</f>
        <v>0</v>
      </c>
      <c r="AD35" s="20"/>
      <c r="AE35" s="20"/>
      <c r="AF35" s="20">
        <f ca="1">IFERROR(__xludf.DUMMYFUNCTION("+AD33+AE33"),0)</f>
        <v>0</v>
      </c>
      <c r="AG35" s="20">
        <f ca="1">IFERROR(__xludf.DUMMYFUNCTION("+AF33*$D33"),0)</f>
        <v>0</v>
      </c>
      <c r="AI35" s="20"/>
      <c r="AJ35" s="20"/>
      <c r="AK35" s="20">
        <f ca="1">IFERROR(__xludf.DUMMYFUNCTION("+AI33+AJ33"),0)</f>
        <v>0</v>
      </c>
      <c r="AL35" s="20">
        <f ca="1">IFERROR(__xludf.DUMMYFUNCTION("+AK33*$D33"),0)</f>
        <v>0</v>
      </c>
      <c r="AN35" s="20"/>
      <c r="AO35" s="20"/>
      <c r="AP35" s="20">
        <f ca="1">IFERROR(__xludf.DUMMYFUNCTION("+AN33+AO33"),0)</f>
        <v>0</v>
      </c>
      <c r="AQ35" s="20">
        <f ca="1">IFERROR(__xludf.DUMMYFUNCTION("+AP33*$D33"),0)</f>
        <v>0</v>
      </c>
      <c r="AS35" s="20"/>
      <c r="AT35" s="20"/>
      <c r="AU35" s="20">
        <f ca="1">IFERROR(__xludf.DUMMYFUNCTION("+AS33+AT33"),0)</f>
        <v>0</v>
      </c>
      <c r="AV35" s="20">
        <f ca="1">IFERROR(__xludf.DUMMYFUNCTION("+AU33*$D33"),0)</f>
        <v>0</v>
      </c>
      <c r="AX35" s="20"/>
      <c r="AY35" s="20"/>
      <c r="AZ35" s="20">
        <f ca="1">IFERROR(__xludf.DUMMYFUNCTION("+AX33+AY33"),0)</f>
        <v>0</v>
      </c>
      <c r="BA35" s="20">
        <f ca="1">IFERROR(__xludf.DUMMYFUNCTION("+AZ33*$D33"),0)</f>
        <v>0</v>
      </c>
      <c r="BC35" s="20"/>
      <c r="BD35" s="20"/>
      <c r="BE35" s="20">
        <f ca="1">IFERROR(__xludf.DUMMYFUNCTION("+BC33+BD33"),0)</f>
        <v>0</v>
      </c>
      <c r="BF35" s="20">
        <f ca="1">IFERROR(__xludf.DUMMYFUNCTION("+BE33*$D33"),0)</f>
        <v>0</v>
      </c>
      <c r="BH35" s="20"/>
      <c r="BI35" s="20"/>
      <c r="BJ35" s="20">
        <f ca="1">IFERROR(__xludf.DUMMYFUNCTION("+BH33+BI33"),0)</f>
        <v>0</v>
      </c>
      <c r="BK35" s="20">
        <f ca="1">IFERROR(__xludf.DUMMYFUNCTION("+BJ33*$D33"),0)</f>
        <v>0</v>
      </c>
      <c r="BM35" s="20">
        <v>18400</v>
      </c>
      <c r="BN35" s="20">
        <f t="shared" si="22"/>
        <v>3496</v>
      </c>
      <c r="BO35" s="20">
        <f t="shared" si="23"/>
        <v>21896</v>
      </c>
      <c r="BP35" s="20">
        <f t="shared" ca="1" si="24"/>
        <v>3503360</v>
      </c>
      <c r="BR35" s="20">
        <v>16500</v>
      </c>
      <c r="BS35" s="20">
        <f t="shared" si="33"/>
        <v>3135</v>
      </c>
      <c r="BT35" s="20">
        <f t="shared" si="26"/>
        <v>19635</v>
      </c>
      <c r="BU35" s="20">
        <f t="shared" ca="1" si="20"/>
        <v>3141600</v>
      </c>
      <c r="BW35" s="20">
        <f t="shared" si="34"/>
        <v>18400</v>
      </c>
      <c r="BX35" s="20">
        <f t="shared" si="27"/>
        <v>3496</v>
      </c>
      <c r="BY35" s="20">
        <f t="shared" si="28"/>
        <v>21896</v>
      </c>
      <c r="BZ35" s="20">
        <f t="shared" ca="1" si="32"/>
        <v>3503360</v>
      </c>
      <c r="CB35" s="20">
        <v>18400</v>
      </c>
      <c r="CC35" s="20">
        <f t="shared" si="29"/>
        <v>3496</v>
      </c>
      <c r="CD35" s="20">
        <f t="shared" si="30"/>
        <v>21896</v>
      </c>
      <c r="CE35" s="20">
        <f t="shared" ca="1" si="21"/>
        <v>3503360</v>
      </c>
      <c r="CG35" s="20"/>
      <c r="CH35" s="20"/>
      <c r="CI35" s="20"/>
      <c r="CJ35" s="20"/>
      <c r="CL35" s="20"/>
      <c r="CM35" s="20"/>
      <c r="CN35" s="20"/>
      <c r="CO35" s="20"/>
      <c r="CP35" s="126"/>
      <c r="CQ35" s="138">
        <f t="shared" si="31"/>
        <v>21330.75</v>
      </c>
      <c r="CR35" s="126"/>
    </row>
    <row r="36" spans="1:96" ht="15.75" customHeight="1" x14ac:dyDescent="0.2">
      <c r="A36" s="40" t="s">
        <v>57</v>
      </c>
      <c r="B36" s="34" t="s">
        <v>47</v>
      </c>
      <c r="C36" s="35">
        <v>1</v>
      </c>
      <c r="D36" s="16">
        <f ca="1">IFERROR(__xludf.DUMMYFUNCTION("+C34*$B$2"),80)</f>
        <v>80</v>
      </c>
      <c r="E36" s="36">
        <v>75250</v>
      </c>
      <c r="F36" s="37">
        <f ca="1">IFERROR(__xludf.DUMMYFUNCTION("+E34*C34"),75250)</f>
        <v>75250</v>
      </c>
      <c r="G36" s="18">
        <f ca="1">IFERROR(__xludf.DUMMYFUNCTION("+E34*D34"),6020000)</f>
        <v>6020000</v>
      </c>
      <c r="H36" s="38"/>
      <c r="J36" s="20"/>
      <c r="K36" s="20"/>
      <c r="L36" s="20">
        <f ca="1">IFERROR(__xludf.DUMMYFUNCTION("+J34+K34"),0)</f>
        <v>0</v>
      </c>
      <c r="M36" s="20">
        <f ca="1">IFERROR(__xludf.DUMMYFUNCTION("+L34*$D34"),0)</f>
        <v>0</v>
      </c>
      <c r="O36" s="20"/>
      <c r="P36" s="20"/>
      <c r="Q36" s="20">
        <f ca="1">IFERROR(__xludf.DUMMYFUNCTION("+O34+P34"),0)</f>
        <v>0</v>
      </c>
      <c r="R36" s="20">
        <f ca="1">IFERROR(__xludf.DUMMYFUNCTION("+Q34*$D34"),0)</f>
        <v>0</v>
      </c>
      <c r="T36" s="20"/>
      <c r="U36" s="20"/>
      <c r="V36" s="20">
        <f ca="1">IFERROR(__xludf.DUMMYFUNCTION("+T34+U34"),0)</f>
        <v>0</v>
      </c>
      <c r="W36" s="20">
        <f ca="1">IFERROR(__xludf.DUMMYFUNCTION("+V34*$D34"),0)</f>
        <v>0</v>
      </c>
      <c r="Y36" s="20"/>
      <c r="Z36" s="20"/>
      <c r="AA36" s="20">
        <f ca="1">IFERROR(__xludf.DUMMYFUNCTION("+Y34+Z34"),0)</f>
        <v>0</v>
      </c>
      <c r="AB36" s="20">
        <f ca="1">IFERROR(__xludf.DUMMYFUNCTION("+AA34*$D34"),0)</f>
        <v>0</v>
      </c>
      <c r="AD36" s="20"/>
      <c r="AE36" s="20"/>
      <c r="AF36" s="20">
        <f ca="1">IFERROR(__xludf.DUMMYFUNCTION("+AD34+AE34"),0)</f>
        <v>0</v>
      </c>
      <c r="AG36" s="20">
        <f ca="1">IFERROR(__xludf.DUMMYFUNCTION("+AF34*$D34"),0)</f>
        <v>0</v>
      </c>
      <c r="AI36" s="20"/>
      <c r="AJ36" s="20"/>
      <c r="AK36" s="20">
        <f ca="1">IFERROR(__xludf.DUMMYFUNCTION("+AI34+AJ34"),0)</f>
        <v>0</v>
      </c>
      <c r="AL36" s="20">
        <f ca="1">IFERROR(__xludf.DUMMYFUNCTION("+AK34*$D34"),0)</f>
        <v>0</v>
      </c>
      <c r="AN36" s="20"/>
      <c r="AO36" s="20"/>
      <c r="AP36" s="20">
        <f ca="1">IFERROR(__xludf.DUMMYFUNCTION("+AN34+AO34"),0)</f>
        <v>0</v>
      </c>
      <c r="AQ36" s="20">
        <f ca="1">IFERROR(__xludf.DUMMYFUNCTION("+AP34*$D34"),0)</f>
        <v>0</v>
      </c>
      <c r="AS36" s="20"/>
      <c r="AT36" s="20"/>
      <c r="AU36" s="20">
        <f ca="1">IFERROR(__xludf.DUMMYFUNCTION("+AS34+AT34"),0)</f>
        <v>0</v>
      </c>
      <c r="AV36" s="20">
        <f ca="1">IFERROR(__xludf.DUMMYFUNCTION("+AU34*$D34"),0)</f>
        <v>0</v>
      </c>
      <c r="AX36" s="20"/>
      <c r="AY36" s="20"/>
      <c r="AZ36" s="20">
        <f ca="1">IFERROR(__xludf.DUMMYFUNCTION("+AX34+AY34"),0)</f>
        <v>0</v>
      </c>
      <c r="BA36" s="20">
        <f ca="1">IFERROR(__xludf.DUMMYFUNCTION("+AZ34*$D34"),0)</f>
        <v>0</v>
      </c>
      <c r="BC36" s="20"/>
      <c r="BD36" s="20"/>
      <c r="BE36" s="20">
        <f ca="1">IFERROR(__xludf.DUMMYFUNCTION("+BC34+BD34"),0)</f>
        <v>0</v>
      </c>
      <c r="BF36" s="20">
        <f ca="1">IFERROR(__xludf.DUMMYFUNCTION("+BE34*$D34"),0)</f>
        <v>0</v>
      </c>
      <c r="BH36" s="20"/>
      <c r="BI36" s="20"/>
      <c r="BJ36" s="20">
        <f ca="1">IFERROR(__xludf.DUMMYFUNCTION("+BH34+BI34"),0)</f>
        <v>0</v>
      </c>
      <c r="BK36" s="20">
        <f ca="1">IFERROR(__xludf.DUMMYFUNCTION("+BJ34*$D34"),0)</f>
        <v>0</v>
      </c>
      <c r="BM36" s="20">
        <v>75250</v>
      </c>
      <c r="BN36" s="20">
        <f t="shared" si="22"/>
        <v>14297.5</v>
      </c>
      <c r="BO36" s="20">
        <f t="shared" si="23"/>
        <v>89547.5</v>
      </c>
      <c r="BP36" s="20">
        <f t="shared" ca="1" si="24"/>
        <v>7163800</v>
      </c>
      <c r="BR36" s="20">
        <v>60000</v>
      </c>
      <c r="BS36" s="20">
        <f t="shared" si="33"/>
        <v>11400</v>
      </c>
      <c r="BT36" s="20">
        <f t="shared" si="26"/>
        <v>71400</v>
      </c>
      <c r="BU36" s="20">
        <f t="shared" ca="1" si="20"/>
        <v>5712000</v>
      </c>
      <c r="BW36" s="20">
        <f t="shared" si="34"/>
        <v>75250</v>
      </c>
      <c r="BX36" s="20">
        <f t="shared" si="27"/>
        <v>14297.5</v>
      </c>
      <c r="BY36" s="20">
        <f t="shared" si="28"/>
        <v>89547.5</v>
      </c>
      <c r="BZ36" s="20">
        <f t="shared" ca="1" si="32"/>
        <v>7163800</v>
      </c>
      <c r="CB36" s="20">
        <v>75250</v>
      </c>
      <c r="CC36" s="20">
        <f t="shared" si="29"/>
        <v>14297.5</v>
      </c>
      <c r="CD36" s="20">
        <f t="shared" si="30"/>
        <v>89547.5</v>
      </c>
      <c r="CE36" s="20">
        <f t="shared" ca="1" si="21"/>
        <v>7163800</v>
      </c>
      <c r="CG36" s="20"/>
      <c r="CH36" s="20"/>
      <c r="CI36" s="20"/>
      <c r="CJ36" s="20"/>
      <c r="CL36" s="20"/>
      <c r="CM36" s="20"/>
      <c r="CN36" s="20"/>
      <c r="CO36" s="20"/>
      <c r="CP36" s="126"/>
      <c r="CQ36" s="138">
        <f t="shared" si="31"/>
        <v>85010.625</v>
      </c>
      <c r="CR36" s="126"/>
    </row>
    <row r="37" spans="1:96" ht="15.75" customHeight="1" x14ac:dyDescent="0.2">
      <c r="A37" s="40" t="s">
        <v>58</v>
      </c>
      <c r="B37" s="34" t="s">
        <v>51</v>
      </c>
      <c r="C37" s="35">
        <v>2</v>
      </c>
      <c r="D37" s="16">
        <f ca="1">IFERROR(__xludf.DUMMYFUNCTION("+C35*$B$2"),160)</f>
        <v>160</v>
      </c>
      <c r="E37" s="36">
        <v>725</v>
      </c>
      <c r="F37" s="37">
        <f ca="1">IFERROR(__xludf.DUMMYFUNCTION("+E35*C35"),1450)</f>
        <v>1450</v>
      </c>
      <c r="G37" s="18">
        <f ca="1">IFERROR(__xludf.DUMMYFUNCTION("+E35*D35"),116000)</f>
        <v>116000</v>
      </c>
      <c r="H37" s="38"/>
      <c r="J37" s="20"/>
      <c r="K37" s="20"/>
      <c r="L37" s="20">
        <f ca="1">IFERROR(__xludf.DUMMYFUNCTION("+J35+K35"),0)</f>
        <v>0</v>
      </c>
      <c r="M37" s="20">
        <f ca="1">IFERROR(__xludf.DUMMYFUNCTION("+L35*$D35"),0)</f>
        <v>0</v>
      </c>
      <c r="O37" s="20"/>
      <c r="P37" s="20"/>
      <c r="Q37" s="20">
        <f ca="1">IFERROR(__xludf.DUMMYFUNCTION("+O35+P35"),0)</f>
        <v>0</v>
      </c>
      <c r="R37" s="20">
        <f ca="1">IFERROR(__xludf.DUMMYFUNCTION("+Q35*$D35"),0)</f>
        <v>0</v>
      </c>
      <c r="T37" s="20"/>
      <c r="U37" s="20"/>
      <c r="V37" s="20">
        <f ca="1">IFERROR(__xludf.DUMMYFUNCTION("+T35+U35"),0)</f>
        <v>0</v>
      </c>
      <c r="W37" s="20">
        <f ca="1">IFERROR(__xludf.DUMMYFUNCTION("+V35*$D35"),0)</f>
        <v>0</v>
      </c>
      <c r="Y37" s="20"/>
      <c r="Z37" s="20"/>
      <c r="AA37" s="20">
        <f ca="1">IFERROR(__xludf.DUMMYFUNCTION("+Y35+Z35"),0)</f>
        <v>0</v>
      </c>
      <c r="AB37" s="20">
        <f ca="1">IFERROR(__xludf.DUMMYFUNCTION("+AA35*$D35"),0)</f>
        <v>0</v>
      </c>
      <c r="AD37" s="20"/>
      <c r="AE37" s="20"/>
      <c r="AF37" s="20">
        <f ca="1">IFERROR(__xludf.DUMMYFUNCTION("+AD35+AE35"),0)</f>
        <v>0</v>
      </c>
      <c r="AG37" s="20">
        <f ca="1">IFERROR(__xludf.DUMMYFUNCTION("+AF35*$D35"),0)</f>
        <v>0</v>
      </c>
      <c r="AI37" s="20"/>
      <c r="AJ37" s="20"/>
      <c r="AK37" s="20">
        <f ca="1">IFERROR(__xludf.DUMMYFUNCTION("+AI35+AJ35"),0)</f>
        <v>0</v>
      </c>
      <c r="AL37" s="20">
        <f ca="1">IFERROR(__xludf.DUMMYFUNCTION("+AK35*$D35"),0)</f>
        <v>0</v>
      </c>
      <c r="AN37" s="20"/>
      <c r="AO37" s="20"/>
      <c r="AP37" s="20">
        <f ca="1">IFERROR(__xludf.DUMMYFUNCTION("+AN35+AO35"),0)</f>
        <v>0</v>
      </c>
      <c r="AQ37" s="20">
        <f ca="1">IFERROR(__xludf.DUMMYFUNCTION("+AP35*$D35"),0)</f>
        <v>0</v>
      </c>
      <c r="AS37" s="20"/>
      <c r="AT37" s="20"/>
      <c r="AU37" s="20">
        <f ca="1">IFERROR(__xludf.DUMMYFUNCTION("+AS35+AT35"),0)</f>
        <v>0</v>
      </c>
      <c r="AV37" s="20">
        <f ca="1">IFERROR(__xludf.DUMMYFUNCTION("+AU35*$D35"),0)</f>
        <v>0</v>
      </c>
      <c r="AX37" s="20"/>
      <c r="AY37" s="20"/>
      <c r="AZ37" s="20">
        <f ca="1">IFERROR(__xludf.DUMMYFUNCTION("+AX35+AY35"),0)</f>
        <v>0</v>
      </c>
      <c r="BA37" s="20">
        <f ca="1">IFERROR(__xludf.DUMMYFUNCTION("+AZ35*$D35"),0)</f>
        <v>0</v>
      </c>
      <c r="BC37" s="20"/>
      <c r="BD37" s="20"/>
      <c r="BE37" s="20">
        <f ca="1">IFERROR(__xludf.DUMMYFUNCTION("+BC35+BD35"),0)</f>
        <v>0</v>
      </c>
      <c r="BF37" s="20">
        <f ca="1">IFERROR(__xludf.DUMMYFUNCTION("+BE35*$D35"),0)</f>
        <v>0</v>
      </c>
      <c r="BH37" s="20"/>
      <c r="BI37" s="20"/>
      <c r="BJ37" s="20">
        <f ca="1">IFERROR(__xludf.DUMMYFUNCTION("+BH35+BI35"),0)</f>
        <v>0</v>
      </c>
      <c r="BK37" s="20">
        <f ca="1">IFERROR(__xludf.DUMMYFUNCTION("+BJ35*$D35"),0)</f>
        <v>0</v>
      </c>
      <c r="BM37" s="20">
        <v>725</v>
      </c>
      <c r="BN37" s="20">
        <f t="shared" si="22"/>
        <v>137.75</v>
      </c>
      <c r="BO37" s="20">
        <f t="shared" si="23"/>
        <v>862.75</v>
      </c>
      <c r="BP37" s="20">
        <f t="shared" ca="1" si="24"/>
        <v>138040</v>
      </c>
      <c r="BR37" s="20">
        <v>2500</v>
      </c>
      <c r="BS37" s="20">
        <f t="shared" si="33"/>
        <v>475</v>
      </c>
      <c r="BT37" s="20">
        <f t="shared" si="26"/>
        <v>2975</v>
      </c>
      <c r="BU37" s="20">
        <f t="shared" ca="1" si="20"/>
        <v>476000</v>
      </c>
      <c r="BW37" s="20">
        <f t="shared" si="34"/>
        <v>725</v>
      </c>
      <c r="BX37" s="20">
        <f t="shared" si="27"/>
        <v>137.75</v>
      </c>
      <c r="BY37" s="20">
        <f t="shared" si="28"/>
        <v>862.75</v>
      </c>
      <c r="BZ37" s="20">
        <f t="shared" ca="1" si="32"/>
        <v>138040</v>
      </c>
      <c r="CB37" s="20">
        <v>4600</v>
      </c>
      <c r="CC37" s="20">
        <f t="shared" si="29"/>
        <v>874</v>
      </c>
      <c r="CD37" s="20">
        <f t="shared" si="30"/>
        <v>5474</v>
      </c>
      <c r="CE37" s="20">
        <f t="shared" ca="1" si="21"/>
        <v>875840</v>
      </c>
      <c r="CG37" s="20"/>
      <c r="CH37" s="20"/>
      <c r="CI37" s="20"/>
      <c r="CJ37" s="20"/>
      <c r="CL37" s="20"/>
      <c r="CM37" s="20"/>
      <c r="CN37" s="20"/>
      <c r="CO37" s="20"/>
      <c r="CP37" s="126"/>
      <c r="CQ37" s="138">
        <f t="shared" si="31"/>
        <v>2543.625</v>
      </c>
      <c r="CR37" s="126"/>
    </row>
    <row r="38" spans="1:96" ht="15.75" customHeight="1" x14ac:dyDescent="0.2">
      <c r="A38" s="40" t="s">
        <v>59</v>
      </c>
      <c r="B38" s="34" t="s">
        <v>60</v>
      </c>
      <c r="C38" s="35">
        <v>2</v>
      </c>
      <c r="D38" s="16">
        <f ca="1">IFERROR(__xludf.DUMMYFUNCTION("+C36*$B$2"),160)</f>
        <v>160</v>
      </c>
      <c r="E38" s="36">
        <v>40952</v>
      </c>
      <c r="F38" s="37">
        <f ca="1">IFERROR(__xludf.DUMMYFUNCTION("+E36*C36"),81904)</f>
        <v>81904</v>
      </c>
      <c r="G38" s="18">
        <f ca="1">IFERROR(__xludf.DUMMYFUNCTION("+E36*D36"),6552320)</f>
        <v>6552320</v>
      </c>
      <c r="H38" s="38"/>
      <c r="J38" s="20"/>
      <c r="K38" s="20"/>
      <c r="L38" s="20">
        <f ca="1">IFERROR(__xludf.DUMMYFUNCTION("+J36+K36"),0)</f>
        <v>0</v>
      </c>
      <c r="M38" s="20">
        <f ca="1">IFERROR(__xludf.DUMMYFUNCTION("+L36*$D36"),0)</f>
        <v>0</v>
      </c>
      <c r="O38" s="20"/>
      <c r="P38" s="20"/>
      <c r="Q38" s="20">
        <f ca="1">IFERROR(__xludf.DUMMYFUNCTION("+O36+P36"),0)</f>
        <v>0</v>
      </c>
      <c r="R38" s="20">
        <f ca="1">IFERROR(__xludf.DUMMYFUNCTION("+Q36*$D36"),0)</f>
        <v>0</v>
      </c>
      <c r="T38" s="20"/>
      <c r="U38" s="20"/>
      <c r="V38" s="20">
        <f ca="1">IFERROR(__xludf.DUMMYFUNCTION("+T36+U36"),0)</f>
        <v>0</v>
      </c>
      <c r="W38" s="20">
        <f ca="1">IFERROR(__xludf.DUMMYFUNCTION("+V36*$D36"),0)</f>
        <v>0</v>
      </c>
      <c r="Y38" s="20"/>
      <c r="Z38" s="20"/>
      <c r="AA38" s="20">
        <f ca="1">IFERROR(__xludf.DUMMYFUNCTION("+Y36+Z36"),0)</f>
        <v>0</v>
      </c>
      <c r="AB38" s="20">
        <f ca="1">IFERROR(__xludf.DUMMYFUNCTION("+AA36*$D36"),0)</f>
        <v>0</v>
      </c>
      <c r="AD38" s="20"/>
      <c r="AE38" s="20"/>
      <c r="AF38" s="20">
        <f ca="1">IFERROR(__xludf.DUMMYFUNCTION("+AD36+AE36"),0)</f>
        <v>0</v>
      </c>
      <c r="AG38" s="20">
        <f ca="1">IFERROR(__xludf.DUMMYFUNCTION("+AF36*$D36"),0)</f>
        <v>0</v>
      </c>
      <c r="AI38" s="20"/>
      <c r="AJ38" s="20"/>
      <c r="AK38" s="20">
        <f ca="1">IFERROR(__xludf.DUMMYFUNCTION("+AI36+AJ36"),0)</f>
        <v>0</v>
      </c>
      <c r="AL38" s="20">
        <f ca="1">IFERROR(__xludf.DUMMYFUNCTION("+AK36*$D36"),0)</f>
        <v>0</v>
      </c>
      <c r="AN38" s="20"/>
      <c r="AO38" s="20"/>
      <c r="AP38" s="20">
        <f ca="1">IFERROR(__xludf.DUMMYFUNCTION("+AN36+AO36"),0)</f>
        <v>0</v>
      </c>
      <c r="AQ38" s="20">
        <f ca="1">IFERROR(__xludf.DUMMYFUNCTION("+AP36*$D36"),0)</f>
        <v>0</v>
      </c>
      <c r="AS38" s="20"/>
      <c r="AT38" s="20"/>
      <c r="AU38" s="20">
        <f ca="1">IFERROR(__xludf.DUMMYFUNCTION("+AS36+AT36"),0)</f>
        <v>0</v>
      </c>
      <c r="AV38" s="20">
        <f ca="1">IFERROR(__xludf.DUMMYFUNCTION("+AU36*$D36"),0)</f>
        <v>0</v>
      </c>
      <c r="AX38" s="20"/>
      <c r="AY38" s="20"/>
      <c r="AZ38" s="20">
        <f ca="1">IFERROR(__xludf.DUMMYFUNCTION("+AX36+AY36"),0)</f>
        <v>0</v>
      </c>
      <c r="BA38" s="20">
        <f ca="1">IFERROR(__xludf.DUMMYFUNCTION("+AZ36*$D36"),0)</f>
        <v>0</v>
      </c>
      <c r="BC38" s="20"/>
      <c r="BD38" s="20"/>
      <c r="BE38" s="20">
        <f ca="1">IFERROR(__xludf.DUMMYFUNCTION("+BC36+BD36"),0)</f>
        <v>0</v>
      </c>
      <c r="BF38" s="20">
        <f ca="1">IFERROR(__xludf.DUMMYFUNCTION("+BE36*$D36"),0)</f>
        <v>0</v>
      </c>
      <c r="BH38" s="20"/>
      <c r="BI38" s="20"/>
      <c r="BJ38" s="20">
        <f ca="1">IFERROR(__xludf.DUMMYFUNCTION("+BH36+BI36"),0)</f>
        <v>0</v>
      </c>
      <c r="BK38" s="20">
        <f ca="1">IFERROR(__xludf.DUMMYFUNCTION("+BJ36*$D36"),0)</f>
        <v>0</v>
      </c>
      <c r="BM38" s="20">
        <v>40952</v>
      </c>
      <c r="BN38" s="20">
        <f t="shared" si="22"/>
        <v>7780.88</v>
      </c>
      <c r="BO38" s="20">
        <f t="shared" si="23"/>
        <v>48732.88</v>
      </c>
      <c r="BP38" s="20">
        <f t="shared" ca="1" si="24"/>
        <v>7797260.7999999998</v>
      </c>
      <c r="BR38" s="20">
        <v>45000</v>
      </c>
      <c r="BS38" s="20">
        <f t="shared" si="33"/>
        <v>8550</v>
      </c>
      <c r="BT38" s="20">
        <f t="shared" si="26"/>
        <v>53550</v>
      </c>
      <c r="BU38" s="20">
        <f t="shared" ca="1" si="20"/>
        <v>8568000</v>
      </c>
      <c r="BW38" s="20">
        <f t="shared" si="34"/>
        <v>40952</v>
      </c>
      <c r="BX38" s="20">
        <f t="shared" si="27"/>
        <v>7780.88</v>
      </c>
      <c r="BY38" s="20">
        <f t="shared" si="28"/>
        <v>48732.88</v>
      </c>
      <c r="BZ38" s="20">
        <f t="shared" ca="1" si="32"/>
        <v>7797260.7999999998</v>
      </c>
      <c r="CB38" s="20">
        <v>40952</v>
      </c>
      <c r="CC38" s="20">
        <f t="shared" si="29"/>
        <v>7780.88</v>
      </c>
      <c r="CD38" s="20">
        <f t="shared" si="30"/>
        <v>48732.88</v>
      </c>
      <c r="CE38" s="20">
        <f t="shared" ca="1" si="21"/>
        <v>7797260.7999999998</v>
      </c>
      <c r="CG38" s="20"/>
      <c r="CH38" s="20"/>
      <c r="CI38" s="20"/>
      <c r="CJ38" s="20"/>
      <c r="CL38" s="20"/>
      <c r="CM38" s="20"/>
      <c r="CN38" s="20"/>
      <c r="CO38" s="20"/>
      <c r="CP38" s="126"/>
      <c r="CQ38" s="138">
        <f t="shared" si="31"/>
        <v>49937.16</v>
      </c>
      <c r="CR38" s="126"/>
    </row>
    <row r="39" spans="1:96" ht="15.75" customHeight="1" x14ac:dyDescent="0.2">
      <c r="A39" s="40" t="s">
        <v>61</v>
      </c>
      <c r="B39" s="34" t="s">
        <v>62</v>
      </c>
      <c r="C39" s="35">
        <v>2</v>
      </c>
      <c r="D39" s="16">
        <f ca="1">IFERROR(__xludf.DUMMYFUNCTION("+C37*$B$2"),160)</f>
        <v>160</v>
      </c>
      <c r="E39" s="36">
        <v>7425</v>
      </c>
      <c r="F39" s="37">
        <f ca="1">IFERROR(__xludf.DUMMYFUNCTION("+E37*C37"),14850)</f>
        <v>14850</v>
      </c>
      <c r="G39" s="18">
        <f ca="1">IFERROR(__xludf.DUMMYFUNCTION("+E37*D37"),1188000)</f>
        <v>1188000</v>
      </c>
      <c r="H39" s="38"/>
      <c r="J39" s="20"/>
      <c r="K39" s="20"/>
      <c r="L39" s="20">
        <f ca="1">IFERROR(__xludf.DUMMYFUNCTION("+J37+K37"),0)</f>
        <v>0</v>
      </c>
      <c r="M39" s="20">
        <f ca="1">IFERROR(__xludf.DUMMYFUNCTION("+L37*$D37"),0)</f>
        <v>0</v>
      </c>
      <c r="O39" s="20"/>
      <c r="P39" s="20"/>
      <c r="Q39" s="20">
        <f ca="1">IFERROR(__xludf.DUMMYFUNCTION("+O37+P37"),0)</f>
        <v>0</v>
      </c>
      <c r="R39" s="20">
        <f ca="1">IFERROR(__xludf.DUMMYFUNCTION("+Q37*$D37"),0)</f>
        <v>0</v>
      </c>
      <c r="T39" s="20"/>
      <c r="U39" s="20"/>
      <c r="V39" s="20">
        <f ca="1">IFERROR(__xludf.DUMMYFUNCTION("+T37+U37"),0)</f>
        <v>0</v>
      </c>
      <c r="W39" s="20">
        <f ca="1">IFERROR(__xludf.DUMMYFUNCTION("+V37*$D37"),0)</f>
        <v>0</v>
      </c>
      <c r="Y39" s="20"/>
      <c r="Z39" s="20"/>
      <c r="AA39" s="20">
        <f ca="1">IFERROR(__xludf.DUMMYFUNCTION("+Y37+Z37"),0)</f>
        <v>0</v>
      </c>
      <c r="AB39" s="20">
        <f ca="1">IFERROR(__xludf.DUMMYFUNCTION("+AA37*$D37"),0)</f>
        <v>0</v>
      </c>
      <c r="AD39" s="20"/>
      <c r="AE39" s="20"/>
      <c r="AF39" s="20">
        <f ca="1">IFERROR(__xludf.DUMMYFUNCTION("+AD37+AE37"),0)</f>
        <v>0</v>
      </c>
      <c r="AG39" s="20">
        <f ca="1">IFERROR(__xludf.DUMMYFUNCTION("+AF37*$D37"),0)</f>
        <v>0</v>
      </c>
      <c r="AI39" s="20"/>
      <c r="AJ39" s="20"/>
      <c r="AK39" s="20">
        <f ca="1">IFERROR(__xludf.DUMMYFUNCTION("+AI37+AJ37"),0)</f>
        <v>0</v>
      </c>
      <c r="AL39" s="20">
        <f ca="1">IFERROR(__xludf.DUMMYFUNCTION("+AK37*$D37"),0)</f>
        <v>0</v>
      </c>
      <c r="AN39" s="20"/>
      <c r="AO39" s="20"/>
      <c r="AP39" s="20">
        <f ca="1">IFERROR(__xludf.DUMMYFUNCTION("+AN37+AO37"),0)</f>
        <v>0</v>
      </c>
      <c r="AQ39" s="20">
        <f ca="1">IFERROR(__xludf.DUMMYFUNCTION("+AP37*$D37"),0)</f>
        <v>0</v>
      </c>
      <c r="AS39" s="20"/>
      <c r="AT39" s="20"/>
      <c r="AU39" s="20">
        <f ca="1">IFERROR(__xludf.DUMMYFUNCTION("+AS37+AT37"),0)</f>
        <v>0</v>
      </c>
      <c r="AV39" s="20">
        <f ca="1">IFERROR(__xludf.DUMMYFUNCTION("+AU37*$D37"),0)</f>
        <v>0</v>
      </c>
      <c r="AX39" s="20"/>
      <c r="AY39" s="20"/>
      <c r="AZ39" s="20">
        <f ca="1">IFERROR(__xludf.DUMMYFUNCTION("+AX37+AY37"),0)</f>
        <v>0</v>
      </c>
      <c r="BA39" s="20">
        <f ca="1">IFERROR(__xludf.DUMMYFUNCTION("+AZ37*$D37"),0)</f>
        <v>0</v>
      </c>
      <c r="BC39" s="20"/>
      <c r="BD39" s="20"/>
      <c r="BE39" s="20">
        <f ca="1">IFERROR(__xludf.DUMMYFUNCTION("+BC37+BD37"),0)</f>
        <v>0</v>
      </c>
      <c r="BF39" s="20">
        <f ca="1">IFERROR(__xludf.DUMMYFUNCTION("+BE37*$D37"),0)</f>
        <v>0</v>
      </c>
      <c r="BH39" s="20"/>
      <c r="BI39" s="20"/>
      <c r="BJ39" s="20">
        <f ca="1">IFERROR(__xludf.DUMMYFUNCTION("+BH37+BI37"),0)</f>
        <v>0</v>
      </c>
      <c r="BK39" s="20">
        <f ca="1">IFERROR(__xludf.DUMMYFUNCTION("+BJ37*$D37"),0)</f>
        <v>0</v>
      </c>
      <c r="BM39" s="20">
        <v>7425</v>
      </c>
      <c r="BN39" s="20">
        <f t="shared" si="22"/>
        <v>1410.75</v>
      </c>
      <c r="BO39" s="20">
        <f t="shared" si="23"/>
        <v>8835.75</v>
      </c>
      <c r="BP39" s="20">
        <f t="shared" ca="1" si="24"/>
        <v>1413720</v>
      </c>
      <c r="BR39" s="20">
        <v>15000</v>
      </c>
      <c r="BS39" s="20">
        <f t="shared" si="33"/>
        <v>2850</v>
      </c>
      <c r="BT39" s="135">
        <f t="shared" si="26"/>
        <v>17850</v>
      </c>
      <c r="BU39" s="20">
        <f t="shared" ca="1" si="20"/>
        <v>2856000</v>
      </c>
      <c r="BW39" s="20">
        <f t="shared" si="34"/>
        <v>7425</v>
      </c>
      <c r="BX39" s="20">
        <f t="shared" si="27"/>
        <v>1410.75</v>
      </c>
      <c r="BY39" s="20">
        <f t="shared" si="28"/>
        <v>8835.75</v>
      </c>
      <c r="BZ39" s="20">
        <f t="shared" ca="1" si="32"/>
        <v>1413720</v>
      </c>
      <c r="CB39" s="20">
        <v>11950</v>
      </c>
      <c r="CC39" s="20">
        <f t="shared" si="29"/>
        <v>2270.5</v>
      </c>
      <c r="CD39" s="20">
        <f t="shared" si="30"/>
        <v>14220.5</v>
      </c>
      <c r="CE39" s="20">
        <f t="shared" ca="1" si="21"/>
        <v>2275280</v>
      </c>
      <c r="CG39" s="20"/>
      <c r="CH39" s="20"/>
      <c r="CI39" s="20"/>
      <c r="CJ39" s="20"/>
      <c r="CL39" s="20"/>
      <c r="CM39" s="20"/>
      <c r="CN39" s="20"/>
      <c r="CO39" s="20"/>
      <c r="CP39" s="126"/>
      <c r="CQ39" s="138">
        <f t="shared" si="31"/>
        <v>12435.5</v>
      </c>
      <c r="CR39" s="126"/>
    </row>
    <row r="40" spans="1:96" ht="15.75" customHeight="1" x14ac:dyDescent="0.2">
      <c r="A40" s="40" t="s">
        <v>63</v>
      </c>
      <c r="B40" s="34" t="s">
        <v>64</v>
      </c>
      <c r="C40" s="35">
        <v>1</v>
      </c>
      <c r="D40" s="16">
        <f ca="1">IFERROR(__xludf.DUMMYFUNCTION("+C38*$B$2"),80)</f>
        <v>80</v>
      </c>
      <c r="E40" s="36">
        <v>2000</v>
      </c>
      <c r="F40" s="37">
        <f ca="1">IFERROR(__xludf.DUMMYFUNCTION("+E38*C38"),2000)</f>
        <v>2000</v>
      </c>
      <c r="G40" s="18">
        <f ca="1">IFERROR(__xludf.DUMMYFUNCTION("+E38*D38"),160000)</f>
        <v>160000</v>
      </c>
      <c r="H40" s="38"/>
      <c r="J40" s="20"/>
      <c r="K40" s="20"/>
      <c r="L40" s="20">
        <f ca="1">IFERROR(__xludf.DUMMYFUNCTION("+J38+K38"),0)</f>
        <v>0</v>
      </c>
      <c r="M40" s="20">
        <f ca="1">IFERROR(__xludf.DUMMYFUNCTION("+L38*$D38"),0)</f>
        <v>0</v>
      </c>
      <c r="O40" s="20"/>
      <c r="P40" s="20"/>
      <c r="Q40" s="20">
        <f ca="1">IFERROR(__xludf.DUMMYFUNCTION("+O38+P38"),0)</f>
        <v>0</v>
      </c>
      <c r="R40" s="20">
        <f ca="1">IFERROR(__xludf.DUMMYFUNCTION("+Q38*$D38"),0)</f>
        <v>0</v>
      </c>
      <c r="T40" s="20"/>
      <c r="U40" s="20"/>
      <c r="V40" s="20">
        <f ca="1">IFERROR(__xludf.DUMMYFUNCTION("+T38+U38"),0)</f>
        <v>0</v>
      </c>
      <c r="W40" s="20">
        <f ca="1">IFERROR(__xludf.DUMMYFUNCTION("+V38*$D38"),0)</f>
        <v>0</v>
      </c>
      <c r="Y40" s="20"/>
      <c r="Z40" s="20"/>
      <c r="AA40" s="20">
        <f ca="1">IFERROR(__xludf.DUMMYFUNCTION("+Y38+Z38"),0)</f>
        <v>0</v>
      </c>
      <c r="AB40" s="20">
        <f ca="1">IFERROR(__xludf.DUMMYFUNCTION("+AA38*$D38"),0)</f>
        <v>0</v>
      </c>
      <c r="AD40" s="20"/>
      <c r="AE40" s="20"/>
      <c r="AF40" s="20">
        <f ca="1">IFERROR(__xludf.DUMMYFUNCTION("+AD38+AE38"),0)</f>
        <v>0</v>
      </c>
      <c r="AG40" s="20">
        <f ca="1">IFERROR(__xludf.DUMMYFUNCTION("+AF38*$D38"),0)</f>
        <v>0</v>
      </c>
      <c r="AI40" s="20"/>
      <c r="AJ40" s="20"/>
      <c r="AK40" s="20">
        <f ca="1">IFERROR(__xludf.DUMMYFUNCTION("+AI38+AJ38"),0)</f>
        <v>0</v>
      </c>
      <c r="AL40" s="20">
        <f ca="1">IFERROR(__xludf.DUMMYFUNCTION("+AK38*$D38"),0)</f>
        <v>0</v>
      </c>
      <c r="AN40" s="20"/>
      <c r="AO40" s="20"/>
      <c r="AP40" s="20">
        <f ca="1">IFERROR(__xludf.DUMMYFUNCTION("+AN38+AO38"),0)</f>
        <v>0</v>
      </c>
      <c r="AQ40" s="20">
        <f ca="1">IFERROR(__xludf.DUMMYFUNCTION("+AP38*$D38"),0)</f>
        <v>0</v>
      </c>
      <c r="AS40" s="20"/>
      <c r="AT40" s="20"/>
      <c r="AU40" s="20">
        <f ca="1">IFERROR(__xludf.DUMMYFUNCTION("+AS38+AT38"),0)</f>
        <v>0</v>
      </c>
      <c r="AV40" s="20">
        <f ca="1">IFERROR(__xludf.DUMMYFUNCTION("+AU38*$D38"),0)</f>
        <v>0</v>
      </c>
      <c r="AX40" s="20"/>
      <c r="AY40" s="20"/>
      <c r="AZ40" s="20">
        <f ca="1">IFERROR(__xludf.DUMMYFUNCTION("+AX38+AY38"),0)</f>
        <v>0</v>
      </c>
      <c r="BA40" s="20">
        <f ca="1">IFERROR(__xludf.DUMMYFUNCTION("+AZ38*$D38"),0)</f>
        <v>0</v>
      </c>
      <c r="BC40" s="20"/>
      <c r="BD40" s="20"/>
      <c r="BE40" s="20">
        <f ca="1">IFERROR(__xludf.DUMMYFUNCTION("+BC38+BD38"),0)</f>
        <v>0</v>
      </c>
      <c r="BF40" s="20">
        <f ca="1">IFERROR(__xludf.DUMMYFUNCTION("+BE38*$D38"),0)</f>
        <v>0</v>
      </c>
      <c r="BH40" s="20"/>
      <c r="BI40" s="20"/>
      <c r="BJ40" s="20">
        <f ca="1">IFERROR(__xludf.DUMMYFUNCTION("+BH38+BI38"),0)</f>
        <v>0</v>
      </c>
      <c r="BK40" s="20">
        <f ca="1">IFERROR(__xludf.DUMMYFUNCTION("+BJ38*$D38"),0)</f>
        <v>0</v>
      </c>
      <c r="BM40" s="20">
        <v>2000</v>
      </c>
      <c r="BN40" s="20">
        <f t="shared" si="22"/>
        <v>380</v>
      </c>
      <c r="BO40" s="20">
        <f t="shared" si="23"/>
        <v>2380</v>
      </c>
      <c r="BP40" s="20">
        <f t="shared" ca="1" si="24"/>
        <v>190400</v>
      </c>
      <c r="BR40" s="20">
        <v>6000</v>
      </c>
      <c r="BS40" s="20">
        <f t="shared" si="33"/>
        <v>1140</v>
      </c>
      <c r="BT40" s="20">
        <f t="shared" si="26"/>
        <v>7140</v>
      </c>
      <c r="BU40" s="20">
        <f t="shared" ca="1" si="20"/>
        <v>571200</v>
      </c>
      <c r="BW40" s="20">
        <v>2900</v>
      </c>
      <c r="BX40" s="20">
        <f t="shared" si="27"/>
        <v>551</v>
      </c>
      <c r="BY40" s="20">
        <f t="shared" si="28"/>
        <v>3451</v>
      </c>
      <c r="BZ40" s="20">
        <f t="shared" ca="1" si="32"/>
        <v>276080</v>
      </c>
      <c r="CB40" s="20">
        <v>5175</v>
      </c>
      <c r="CC40" s="20">
        <f t="shared" si="29"/>
        <v>983.25</v>
      </c>
      <c r="CD40" s="20">
        <f t="shared" si="30"/>
        <v>6158.25</v>
      </c>
      <c r="CE40" s="20">
        <f t="shared" ca="1" si="21"/>
        <v>492660</v>
      </c>
      <c r="CG40" s="20"/>
      <c r="CH40" s="20"/>
      <c r="CI40" s="20"/>
      <c r="CJ40" s="20"/>
      <c r="CL40" s="20"/>
      <c r="CM40" s="20"/>
      <c r="CN40" s="20"/>
      <c r="CO40" s="20"/>
      <c r="CP40" s="126"/>
      <c r="CQ40" s="138">
        <f t="shared" si="31"/>
        <v>4782.3125</v>
      </c>
      <c r="CR40" s="126"/>
    </row>
    <row r="41" spans="1:96" ht="15.75" customHeight="1" x14ac:dyDescent="0.2">
      <c r="A41" s="40" t="s">
        <v>65</v>
      </c>
      <c r="B41" s="34" t="s">
        <v>64</v>
      </c>
      <c r="C41" s="35">
        <v>1</v>
      </c>
      <c r="D41" s="16">
        <f ca="1">IFERROR(__xludf.DUMMYFUNCTION("+C39*$B$2"),80)</f>
        <v>80</v>
      </c>
      <c r="E41" s="36">
        <v>3000</v>
      </c>
      <c r="F41" s="37">
        <f ca="1">IFERROR(__xludf.DUMMYFUNCTION("+E39*C39"),3000)</f>
        <v>3000</v>
      </c>
      <c r="G41" s="18">
        <f ca="1">IFERROR(__xludf.DUMMYFUNCTION("+E39*D39"),240000)</f>
        <v>240000</v>
      </c>
      <c r="H41" s="38"/>
      <c r="J41" s="20"/>
      <c r="K41" s="20"/>
      <c r="L41" s="20">
        <f ca="1">IFERROR(__xludf.DUMMYFUNCTION("+J39+K39"),0)</f>
        <v>0</v>
      </c>
      <c r="M41" s="20">
        <f ca="1">IFERROR(__xludf.DUMMYFUNCTION("+L39*$D39"),0)</f>
        <v>0</v>
      </c>
      <c r="O41" s="20"/>
      <c r="P41" s="20"/>
      <c r="Q41" s="20">
        <f ca="1">IFERROR(__xludf.DUMMYFUNCTION("+O39+P39"),0)</f>
        <v>0</v>
      </c>
      <c r="R41" s="20">
        <f ca="1">IFERROR(__xludf.DUMMYFUNCTION("+Q39*$D39"),0)</f>
        <v>0</v>
      </c>
      <c r="T41" s="20"/>
      <c r="U41" s="20"/>
      <c r="V41" s="20">
        <f ca="1">IFERROR(__xludf.DUMMYFUNCTION("+T39+U39"),0)</f>
        <v>0</v>
      </c>
      <c r="W41" s="20">
        <f ca="1">IFERROR(__xludf.DUMMYFUNCTION("+V39*$D39"),0)</f>
        <v>0</v>
      </c>
      <c r="Y41" s="20"/>
      <c r="Z41" s="20"/>
      <c r="AA41" s="20">
        <f ca="1">IFERROR(__xludf.DUMMYFUNCTION("+Y39+Z39"),0)</f>
        <v>0</v>
      </c>
      <c r="AB41" s="20">
        <f ca="1">IFERROR(__xludf.DUMMYFUNCTION("+AA39*$D39"),0)</f>
        <v>0</v>
      </c>
      <c r="AD41" s="20"/>
      <c r="AE41" s="20"/>
      <c r="AF41" s="20">
        <f ca="1">IFERROR(__xludf.DUMMYFUNCTION("+AD39+AE39"),0)</f>
        <v>0</v>
      </c>
      <c r="AG41" s="20">
        <f ca="1">IFERROR(__xludf.DUMMYFUNCTION("+AF39*$D39"),0)</f>
        <v>0</v>
      </c>
      <c r="AI41" s="20"/>
      <c r="AJ41" s="20"/>
      <c r="AK41" s="20">
        <f ca="1">IFERROR(__xludf.DUMMYFUNCTION("+AI39+AJ39"),0)</f>
        <v>0</v>
      </c>
      <c r="AL41" s="20">
        <f ca="1">IFERROR(__xludf.DUMMYFUNCTION("+AK39*$D39"),0)</f>
        <v>0</v>
      </c>
      <c r="AN41" s="20"/>
      <c r="AO41" s="20"/>
      <c r="AP41" s="20">
        <f ca="1">IFERROR(__xludf.DUMMYFUNCTION("+AN39+AO39"),0)</f>
        <v>0</v>
      </c>
      <c r="AQ41" s="20">
        <f ca="1">IFERROR(__xludf.DUMMYFUNCTION("+AP39*$D39"),0)</f>
        <v>0</v>
      </c>
      <c r="AS41" s="20"/>
      <c r="AT41" s="20"/>
      <c r="AU41" s="20">
        <f ca="1">IFERROR(__xludf.DUMMYFUNCTION("+AS39+AT39"),0)</f>
        <v>0</v>
      </c>
      <c r="AV41" s="20">
        <f ca="1">IFERROR(__xludf.DUMMYFUNCTION("+AU39*$D39"),0)</f>
        <v>0</v>
      </c>
      <c r="AX41" s="20"/>
      <c r="AY41" s="20"/>
      <c r="AZ41" s="20">
        <f ca="1">IFERROR(__xludf.DUMMYFUNCTION("+AX39+AY39"),0)</f>
        <v>0</v>
      </c>
      <c r="BA41" s="20">
        <f ca="1">IFERROR(__xludf.DUMMYFUNCTION("+AZ39*$D39"),0)</f>
        <v>0</v>
      </c>
      <c r="BC41" s="20"/>
      <c r="BD41" s="20"/>
      <c r="BE41" s="20">
        <f ca="1">IFERROR(__xludf.DUMMYFUNCTION("+BC39+BD39"),0)</f>
        <v>0</v>
      </c>
      <c r="BF41" s="20">
        <f ca="1">IFERROR(__xludf.DUMMYFUNCTION("+BE39*$D39"),0)</f>
        <v>0</v>
      </c>
      <c r="BH41" s="20"/>
      <c r="BI41" s="20"/>
      <c r="BJ41" s="20">
        <f ca="1">IFERROR(__xludf.DUMMYFUNCTION("+BH39+BI39"),0)</f>
        <v>0</v>
      </c>
      <c r="BK41" s="20">
        <f ca="1">IFERROR(__xludf.DUMMYFUNCTION("+BJ39*$D39"),0)</f>
        <v>0</v>
      </c>
      <c r="BM41" s="20">
        <v>3000</v>
      </c>
      <c r="BN41" s="20">
        <f t="shared" si="22"/>
        <v>570</v>
      </c>
      <c r="BO41" s="20">
        <f t="shared" si="23"/>
        <v>3570</v>
      </c>
      <c r="BP41" s="20">
        <f t="shared" ca="1" si="24"/>
        <v>285600</v>
      </c>
      <c r="BR41" s="20">
        <v>6000</v>
      </c>
      <c r="BS41" s="20">
        <f t="shared" si="33"/>
        <v>1140</v>
      </c>
      <c r="BT41" s="20">
        <f t="shared" si="26"/>
        <v>7140</v>
      </c>
      <c r="BU41" s="20">
        <f t="shared" ca="1" si="20"/>
        <v>571200</v>
      </c>
      <c r="BW41" s="20">
        <v>2900</v>
      </c>
      <c r="BX41" s="20">
        <f t="shared" si="27"/>
        <v>551</v>
      </c>
      <c r="BY41" s="20">
        <f t="shared" si="28"/>
        <v>3451</v>
      </c>
      <c r="BZ41" s="20">
        <f t="shared" ca="1" si="32"/>
        <v>276080</v>
      </c>
      <c r="CB41" s="20">
        <v>5175</v>
      </c>
      <c r="CC41" s="20">
        <f t="shared" si="29"/>
        <v>983.25</v>
      </c>
      <c r="CD41" s="20">
        <f t="shared" si="30"/>
        <v>6158.25</v>
      </c>
      <c r="CE41" s="20">
        <f t="shared" ca="1" si="21"/>
        <v>492660</v>
      </c>
      <c r="CG41" s="20"/>
      <c r="CH41" s="20"/>
      <c r="CI41" s="20"/>
      <c r="CJ41" s="20"/>
      <c r="CL41" s="20"/>
      <c r="CM41" s="20"/>
      <c r="CN41" s="20"/>
      <c r="CO41" s="20"/>
      <c r="CP41" s="126"/>
      <c r="CQ41" s="138">
        <f t="shared" si="31"/>
        <v>5079.8125</v>
      </c>
      <c r="CR41" s="126"/>
    </row>
    <row r="42" spans="1:96" ht="15.75" customHeight="1" x14ac:dyDescent="0.2">
      <c r="A42" s="40" t="s">
        <v>66</v>
      </c>
      <c r="B42" s="34" t="s">
        <v>64</v>
      </c>
      <c r="C42" s="35">
        <v>1</v>
      </c>
      <c r="D42" s="16">
        <f ca="1">IFERROR(__xludf.DUMMYFUNCTION("+C40*$B$2"),80)</f>
        <v>80</v>
      </c>
      <c r="E42" s="36">
        <v>5500</v>
      </c>
      <c r="F42" s="37">
        <f ca="1">IFERROR(__xludf.DUMMYFUNCTION("+E40*C40"),5500)</f>
        <v>5500</v>
      </c>
      <c r="G42" s="18">
        <f ca="1">IFERROR(__xludf.DUMMYFUNCTION("+E40*D40"),440000)</f>
        <v>440000</v>
      </c>
      <c r="H42" s="38"/>
      <c r="J42" s="20"/>
      <c r="K42" s="20"/>
      <c r="L42" s="20">
        <f ca="1">IFERROR(__xludf.DUMMYFUNCTION("+J40+K40"),0)</f>
        <v>0</v>
      </c>
      <c r="M42" s="20">
        <f ca="1">IFERROR(__xludf.DUMMYFUNCTION("+L40*$D40"),0)</f>
        <v>0</v>
      </c>
      <c r="O42" s="20"/>
      <c r="P42" s="20"/>
      <c r="Q42" s="20">
        <f ca="1">IFERROR(__xludf.DUMMYFUNCTION("+O40+P40"),0)</f>
        <v>0</v>
      </c>
      <c r="R42" s="20">
        <f ca="1">IFERROR(__xludf.DUMMYFUNCTION("+Q40*$D40"),0)</f>
        <v>0</v>
      </c>
      <c r="T42" s="20"/>
      <c r="U42" s="20"/>
      <c r="V42" s="20">
        <f ca="1">IFERROR(__xludf.DUMMYFUNCTION("+T40+U40"),0)</f>
        <v>0</v>
      </c>
      <c r="W42" s="20">
        <f ca="1">IFERROR(__xludf.DUMMYFUNCTION("+V40*$D40"),0)</f>
        <v>0</v>
      </c>
      <c r="Y42" s="20"/>
      <c r="Z42" s="20"/>
      <c r="AA42" s="20">
        <f ca="1">IFERROR(__xludf.DUMMYFUNCTION("+Y40+Z40"),0)</f>
        <v>0</v>
      </c>
      <c r="AB42" s="20">
        <f ca="1">IFERROR(__xludf.DUMMYFUNCTION("+AA40*$D40"),0)</f>
        <v>0</v>
      </c>
      <c r="AD42" s="20"/>
      <c r="AE42" s="20"/>
      <c r="AF42" s="20">
        <f ca="1">IFERROR(__xludf.DUMMYFUNCTION("+AD40+AE40"),0)</f>
        <v>0</v>
      </c>
      <c r="AG42" s="20">
        <f ca="1">IFERROR(__xludf.DUMMYFUNCTION("+AF40*$D40"),0)</f>
        <v>0</v>
      </c>
      <c r="AI42" s="20"/>
      <c r="AJ42" s="20"/>
      <c r="AK42" s="20">
        <f ca="1">IFERROR(__xludf.DUMMYFUNCTION("+AI40+AJ40"),0)</f>
        <v>0</v>
      </c>
      <c r="AL42" s="20">
        <f ca="1">IFERROR(__xludf.DUMMYFUNCTION("+AK40*$D40"),0)</f>
        <v>0</v>
      </c>
      <c r="AN42" s="20"/>
      <c r="AO42" s="20"/>
      <c r="AP42" s="20">
        <f ca="1">IFERROR(__xludf.DUMMYFUNCTION("+AN40+AO40"),0)</f>
        <v>0</v>
      </c>
      <c r="AQ42" s="20">
        <f ca="1">IFERROR(__xludf.DUMMYFUNCTION("+AP40*$D40"),0)</f>
        <v>0</v>
      </c>
      <c r="AS42" s="20"/>
      <c r="AT42" s="20"/>
      <c r="AU42" s="20">
        <f ca="1">IFERROR(__xludf.DUMMYFUNCTION("+AS40+AT40"),0)</f>
        <v>0</v>
      </c>
      <c r="AV42" s="20">
        <f ca="1">IFERROR(__xludf.DUMMYFUNCTION("+AU40*$D40"),0)</f>
        <v>0</v>
      </c>
      <c r="AX42" s="20"/>
      <c r="AY42" s="20"/>
      <c r="AZ42" s="20">
        <f ca="1">IFERROR(__xludf.DUMMYFUNCTION("+AX40+AY40"),0)</f>
        <v>0</v>
      </c>
      <c r="BA42" s="20">
        <f ca="1">IFERROR(__xludf.DUMMYFUNCTION("+AZ40*$D40"),0)</f>
        <v>0</v>
      </c>
      <c r="BC42" s="20"/>
      <c r="BD42" s="20"/>
      <c r="BE42" s="20">
        <f ca="1">IFERROR(__xludf.DUMMYFUNCTION("+BC40+BD40"),0)</f>
        <v>0</v>
      </c>
      <c r="BF42" s="20">
        <f ca="1">IFERROR(__xludf.DUMMYFUNCTION("+BE40*$D40"),0)</f>
        <v>0</v>
      </c>
      <c r="BH42" s="20"/>
      <c r="BI42" s="20"/>
      <c r="BJ42" s="20">
        <f ca="1">IFERROR(__xludf.DUMMYFUNCTION("+BH40+BI40"),0)</f>
        <v>0</v>
      </c>
      <c r="BK42" s="20">
        <f ca="1">IFERROR(__xludf.DUMMYFUNCTION("+BJ40*$D40"),0)</f>
        <v>0</v>
      </c>
      <c r="BM42" s="20">
        <v>5500</v>
      </c>
      <c r="BN42" s="20">
        <f t="shared" si="22"/>
        <v>1045</v>
      </c>
      <c r="BO42" s="20">
        <f t="shared" si="23"/>
        <v>6545</v>
      </c>
      <c r="BP42" s="20">
        <f t="shared" ca="1" si="24"/>
        <v>523600</v>
      </c>
      <c r="BR42" s="20">
        <v>6000</v>
      </c>
      <c r="BS42" s="20">
        <f t="shared" si="33"/>
        <v>1140</v>
      </c>
      <c r="BT42" s="20">
        <f t="shared" si="26"/>
        <v>7140</v>
      </c>
      <c r="BU42" s="20">
        <f t="shared" ca="1" si="20"/>
        <v>571200</v>
      </c>
      <c r="BW42" s="20">
        <v>2900</v>
      </c>
      <c r="BX42" s="20">
        <f t="shared" si="27"/>
        <v>551</v>
      </c>
      <c r="BY42" s="20">
        <f t="shared" si="28"/>
        <v>3451</v>
      </c>
      <c r="BZ42" s="20">
        <f t="shared" ca="1" si="32"/>
        <v>276080</v>
      </c>
      <c r="CB42" s="20">
        <v>5175</v>
      </c>
      <c r="CC42" s="20">
        <f t="shared" si="29"/>
        <v>983.25</v>
      </c>
      <c r="CD42" s="20">
        <f t="shared" si="30"/>
        <v>6158.25</v>
      </c>
      <c r="CE42" s="20">
        <f t="shared" ca="1" si="21"/>
        <v>492660</v>
      </c>
      <c r="CG42" s="20"/>
      <c r="CH42" s="20"/>
      <c r="CI42" s="20"/>
      <c r="CJ42" s="20"/>
      <c r="CL42" s="20"/>
      <c r="CM42" s="20"/>
      <c r="CN42" s="20"/>
      <c r="CO42" s="20"/>
      <c r="CP42" s="126"/>
      <c r="CQ42" s="138">
        <f t="shared" si="31"/>
        <v>5823.5625</v>
      </c>
      <c r="CR42" s="126"/>
    </row>
    <row r="43" spans="1:96" ht="15.75" customHeight="1" x14ac:dyDescent="0.2">
      <c r="A43" s="129" t="s">
        <v>67</v>
      </c>
      <c r="B43" s="34" t="s">
        <v>64</v>
      </c>
      <c r="C43" s="35">
        <v>4</v>
      </c>
      <c r="D43" s="16">
        <f ca="1">IFERROR(__xludf.DUMMYFUNCTION("+C41*$B$2"),320)</f>
        <v>320</v>
      </c>
      <c r="E43" s="36">
        <v>6000</v>
      </c>
      <c r="F43" s="37">
        <f ca="1">IFERROR(__xludf.DUMMYFUNCTION("+E41*C41"),24000)</f>
        <v>24000</v>
      </c>
      <c r="G43" s="18">
        <f ca="1">IFERROR(__xludf.DUMMYFUNCTION("+E41*D41"),1920000)</f>
        <v>1920000</v>
      </c>
      <c r="H43" s="38"/>
      <c r="J43" s="20"/>
      <c r="K43" s="20"/>
      <c r="L43" s="20">
        <f ca="1">IFERROR(__xludf.DUMMYFUNCTION("+J41+K41"),0)</f>
        <v>0</v>
      </c>
      <c r="M43" s="20">
        <f ca="1">IFERROR(__xludf.DUMMYFUNCTION("+L41*$D41"),0)</f>
        <v>0</v>
      </c>
      <c r="O43" s="20"/>
      <c r="P43" s="20"/>
      <c r="Q43" s="20">
        <f ca="1">IFERROR(__xludf.DUMMYFUNCTION("+O41+P41"),0)</f>
        <v>0</v>
      </c>
      <c r="R43" s="20">
        <f ca="1">IFERROR(__xludf.DUMMYFUNCTION("+Q41*$D41"),0)</f>
        <v>0</v>
      </c>
      <c r="T43" s="20"/>
      <c r="U43" s="20"/>
      <c r="V43" s="20">
        <f ca="1">IFERROR(__xludf.DUMMYFUNCTION("+T41+U41"),0)</f>
        <v>0</v>
      </c>
      <c r="W43" s="20">
        <f ca="1">IFERROR(__xludf.DUMMYFUNCTION("+V41*$D41"),0)</f>
        <v>0</v>
      </c>
      <c r="Y43" s="20"/>
      <c r="Z43" s="20"/>
      <c r="AA43" s="20">
        <f ca="1">IFERROR(__xludf.DUMMYFUNCTION("+Y41+Z41"),0)</f>
        <v>0</v>
      </c>
      <c r="AB43" s="20">
        <f ca="1">IFERROR(__xludf.DUMMYFUNCTION("+AA41*$D41"),0)</f>
        <v>0</v>
      </c>
      <c r="AD43" s="20"/>
      <c r="AE43" s="20"/>
      <c r="AF43" s="20">
        <f ca="1">IFERROR(__xludf.DUMMYFUNCTION("+AD41+AE41"),0)</f>
        <v>0</v>
      </c>
      <c r="AG43" s="20">
        <f ca="1">IFERROR(__xludf.DUMMYFUNCTION("+AF41*$D41"),0)</f>
        <v>0</v>
      </c>
      <c r="AI43" s="20"/>
      <c r="AJ43" s="20"/>
      <c r="AK43" s="20">
        <f ca="1">IFERROR(__xludf.DUMMYFUNCTION("+AI41+AJ41"),0)</f>
        <v>0</v>
      </c>
      <c r="AL43" s="20">
        <f ca="1">IFERROR(__xludf.DUMMYFUNCTION("+AK41*$D41"),0)</f>
        <v>0</v>
      </c>
      <c r="AN43" s="20"/>
      <c r="AO43" s="20"/>
      <c r="AP43" s="20">
        <f ca="1">IFERROR(__xludf.DUMMYFUNCTION("+AN41+AO41"),0)</f>
        <v>0</v>
      </c>
      <c r="AQ43" s="20">
        <f ca="1">IFERROR(__xludf.DUMMYFUNCTION("+AP41*$D41"),0)</f>
        <v>0</v>
      </c>
      <c r="AS43" s="20"/>
      <c r="AT43" s="20"/>
      <c r="AU43" s="20">
        <f ca="1">IFERROR(__xludf.DUMMYFUNCTION("+AS41+AT41"),0)</f>
        <v>0</v>
      </c>
      <c r="AV43" s="20">
        <f ca="1">IFERROR(__xludf.DUMMYFUNCTION("+AU41*$D41"),0)</f>
        <v>0</v>
      </c>
      <c r="AX43" s="20"/>
      <c r="AY43" s="20"/>
      <c r="AZ43" s="20">
        <f ca="1">IFERROR(__xludf.DUMMYFUNCTION("+AX41+AY41"),0)</f>
        <v>0</v>
      </c>
      <c r="BA43" s="20">
        <f ca="1">IFERROR(__xludf.DUMMYFUNCTION("+AZ41*$D41"),0)</f>
        <v>0</v>
      </c>
      <c r="BC43" s="20"/>
      <c r="BD43" s="20"/>
      <c r="BE43" s="20">
        <f ca="1">IFERROR(__xludf.DUMMYFUNCTION("+BC41+BD41"),0)</f>
        <v>0</v>
      </c>
      <c r="BF43" s="20">
        <f ca="1">IFERROR(__xludf.DUMMYFUNCTION("+BE41*$D41"),0)</f>
        <v>0</v>
      </c>
      <c r="BH43" s="20"/>
      <c r="BI43" s="20"/>
      <c r="BJ43" s="20">
        <f ca="1">IFERROR(__xludf.DUMMYFUNCTION("+BH41+BI41"),0)</f>
        <v>0</v>
      </c>
      <c r="BK43" s="20">
        <f ca="1">IFERROR(__xludf.DUMMYFUNCTION("+BJ41*$D41"),0)</f>
        <v>0</v>
      </c>
      <c r="BM43" s="20">
        <v>6000</v>
      </c>
      <c r="BN43" s="20">
        <f t="shared" si="22"/>
        <v>1140</v>
      </c>
      <c r="BO43" s="20">
        <f t="shared" si="23"/>
        <v>7140</v>
      </c>
      <c r="BP43" s="20">
        <f t="shared" ca="1" si="24"/>
        <v>2284800</v>
      </c>
      <c r="BR43" s="20">
        <v>10000</v>
      </c>
      <c r="BS43" s="20">
        <f t="shared" si="33"/>
        <v>1900</v>
      </c>
      <c r="BT43" s="20">
        <f t="shared" si="26"/>
        <v>11900</v>
      </c>
      <c r="BU43" s="20">
        <f t="shared" ca="1" si="20"/>
        <v>3808000</v>
      </c>
      <c r="BW43" s="20">
        <f>BM43</f>
        <v>6000</v>
      </c>
      <c r="BX43" s="20">
        <f t="shared" si="27"/>
        <v>1140</v>
      </c>
      <c r="BY43" s="20">
        <f t="shared" si="28"/>
        <v>7140</v>
      </c>
      <c r="BZ43" s="20">
        <f t="shared" ca="1" si="32"/>
        <v>2284800</v>
      </c>
      <c r="CB43" s="20">
        <v>6899.9999999999991</v>
      </c>
      <c r="CC43" s="20">
        <f t="shared" si="29"/>
        <v>1310.9999999999998</v>
      </c>
      <c r="CD43" s="20">
        <f t="shared" si="30"/>
        <v>8210.9999999999982</v>
      </c>
      <c r="CE43" s="20">
        <f t="shared" ca="1" si="21"/>
        <v>2627519.9999999995</v>
      </c>
      <c r="CG43" s="20"/>
      <c r="CH43" s="20"/>
      <c r="CI43" s="20"/>
      <c r="CJ43" s="20"/>
      <c r="CL43" s="20"/>
      <c r="CM43" s="20"/>
      <c r="CN43" s="20"/>
      <c r="CO43" s="20"/>
      <c r="CP43" s="126"/>
      <c r="CQ43" s="138">
        <f t="shared" si="31"/>
        <v>8597.75</v>
      </c>
      <c r="CR43" s="126"/>
    </row>
    <row r="44" spans="1:96" ht="15.75" customHeight="1" x14ac:dyDescent="0.2">
      <c r="A44" s="40" t="s">
        <v>68</v>
      </c>
      <c r="B44" s="34" t="s">
        <v>69</v>
      </c>
      <c r="C44" s="35">
        <v>1</v>
      </c>
      <c r="D44" s="16">
        <f ca="1">IFERROR(__xludf.DUMMYFUNCTION("+C42*$B$2"),80)</f>
        <v>80</v>
      </c>
      <c r="E44" s="36">
        <v>63850</v>
      </c>
      <c r="F44" s="37">
        <f ca="1">IFERROR(__xludf.DUMMYFUNCTION("+E42*C42"),63850)</f>
        <v>63850</v>
      </c>
      <c r="G44" s="18">
        <f ca="1">IFERROR(__xludf.DUMMYFUNCTION("+E42*D42"),5108000)</f>
        <v>5108000</v>
      </c>
      <c r="H44" s="38"/>
      <c r="J44" s="20"/>
      <c r="K44" s="20"/>
      <c r="L44" s="20">
        <f ca="1">IFERROR(__xludf.DUMMYFUNCTION("+J42+K42"),0)</f>
        <v>0</v>
      </c>
      <c r="M44" s="20">
        <f ca="1">IFERROR(__xludf.DUMMYFUNCTION("+L42*$D42"),0)</f>
        <v>0</v>
      </c>
      <c r="O44" s="20"/>
      <c r="P44" s="20"/>
      <c r="Q44" s="20">
        <f ca="1">IFERROR(__xludf.DUMMYFUNCTION("+O42+P42"),0)</f>
        <v>0</v>
      </c>
      <c r="R44" s="20">
        <f ca="1">IFERROR(__xludf.DUMMYFUNCTION("+Q42*$D42"),0)</f>
        <v>0</v>
      </c>
      <c r="T44" s="20"/>
      <c r="U44" s="20"/>
      <c r="V44" s="20">
        <f ca="1">IFERROR(__xludf.DUMMYFUNCTION("+T42+U42"),0)</f>
        <v>0</v>
      </c>
      <c r="W44" s="20">
        <f ca="1">IFERROR(__xludf.DUMMYFUNCTION("+V42*$D42"),0)</f>
        <v>0</v>
      </c>
      <c r="Y44" s="20"/>
      <c r="Z44" s="20"/>
      <c r="AA44" s="20">
        <f ca="1">IFERROR(__xludf.DUMMYFUNCTION("+Y42+Z42"),0)</f>
        <v>0</v>
      </c>
      <c r="AB44" s="20">
        <f ca="1">IFERROR(__xludf.DUMMYFUNCTION("+AA42*$D42"),0)</f>
        <v>0</v>
      </c>
      <c r="AD44" s="20"/>
      <c r="AE44" s="20"/>
      <c r="AF44" s="20">
        <f ca="1">IFERROR(__xludf.DUMMYFUNCTION("+AD42+AE42"),0)</f>
        <v>0</v>
      </c>
      <c r="AG44" s="20">
        <f ca="1">IFERROR(__xludf.DUMMYFUNCTION("+AF42*$D42"),0)</f>
        <v>0</v>
      </c>
      <c r="AI44" s="20"/>
      <c r="AJ44" s="20"/>
      <c r="AK44" s="20">
        <f ca="1">IFERROR(__xludf.DUMMYFUNCTION("+AI42+AJ42"),0)</f>
        <v>0</v>
      </c>
      <c r="AL44" s="20">
        <f ca="1">IFERROR(__xludf.DUMMYFUNCTION("+AK42*$D42"),0)</f>
        <v>0</v>
      </c>
      <c r="AN44" s="20"/>
      <c r="AO44" s="20"/>
      <c r="AP44" s="20">
        <f ca="1">IFERROR(__xludf.DUMMYFUNCTION("+AN42+AO42"),0)</f>
        <v>0</v>
      </c>
      <c r="AQ44" s="20">
        <f ca="1">IFERROR(__xludf.DUMMYFUNCTION("+AP42*$D42"),0)</f>
        <v>0</v>
      </c>
      <c r="AS44" s="20"/>
      <c r="AT44" s="20"/>
      <c r="AU44" s="20">
        <f ca="1">IFERROR(__xludf.DUMMYFUNCTION("+AS42+AT42"),0)</f>
        <v>0</v>
      </c>
      <c r="AV44" s="20">
        <f ca="1">IFERROR(__xludf.DUMMYFUNCTION("+AU42*$D42"),0)</f>
        <v>0</v>
      </c>
      <c r="AX44" s="20"/>
      <c r="AY44" s="20"/>
      <c r="AZ44" s="20">
        <f ca="1">IFERROR(__xludf.DUMMYFUNCTION("+AX42+AY42"),0)</f>
        <v>0</v>
      </c>
      <c r="BA44" s="20">
        <f ca="1">IFERROR(__xludf.DUMMYFUNCTION("+AZ42*$D42"),0)</f>
        <v>0</v>
      </c>
      <c r="BC44" s="20"/>
      <c r="BD44" s="20"/>
      <c r="BE44" s="20">
        <f ca="1">IFERROR(__xludf.DUMMYFUNCTION("+BC42+BD42"),0)</f>
        <v>0</v>
      </c>
      <c r="BF44" s="20">
        <f ca="1">IFERROR(__xludf.DUMMYFUNCTION("+BE42*$D42"),0)</f>
        <v>0</v>
      </c>
      <c r="BH44" s="20"/>
      <c r="BI44" s="20"/>
      <c r="BJ44" s="20">
        <f ca="1">IFERROR(__xludf.DUMMYFUNCTION("+BH42+BI42"),0)</f>
        <v>0</v>
      </c>
      <c r="BK44" s="20">
        <f ca="1">IFERROR(__xludf.DUMMYFUNCTION("+BJ42*$D42"),0)</f>
        <v>0</v>
      </c>
      <c r="BM44" s="20">
        <v>23850</v>
      </c>
      <c r="BN44" s="20">
        <f t="shared" si="22"/>
        <v>4531.5</v>
      </c>
      <c r="BO44" s="20">
        <f t="shared" si="23"/>
        <v>28381.5</v>
      </c>
      <c r="BP44" s="20">
        <f t="shared" ca="1" si="24"/>
        <v>2270520</v>
      </c>
      <c r="BR44" s="20">
        <v>20000</v>
      </c>
      <c r="BS44" s="20">
        <f t="shared" si="33"/>
        <v>3800</v>
      </c>
      <c r="BT44" s="20">
        <f t="shared" si="26"/>
        <v>23800</v>
      </c>
      <c r="BU44" s="20">
        <f t="shared" ca="1" si="20"/>
        <v>1904000</v>
      </c>
      <c r="BW44" s="20">
        <v>13500</v>
      </c>
      <c r="BX44" s="20">
        <f t="shared" si="27"/>
        <v>2565</v>
      </c>
      <c r="BY44" s="20">
        <f t="shared" si="28"/>
        <v>16065</v>
      </c>
      <c r="BZ44" s="20">
        <f t="shared" ca="1" si="32"/>
        <v>1285200</v>
      </c>
      <c r="CB44" s="20">
        <v>12500</v>
      </c>
      <c r="CC44" s="20">
        <f t="shared" si="29"/>
        <v>2375</v>
      </c>
      <c r="CD44" s="20">
        <f t="shared" si="30"/>
        <v>14875</v>
      </c>
      <c r="CE44" s="20">
        <f t="shared" ca="1" si="21"/>
        <v>1190000</v>
      </c>
      <c r="CG44" s="20"/>
      <c r="CH44" s="20"/>
      <c r="CI44" s="20"/>
      <c r="CJ44" s="20"/>
      <c r="CL44" s="20"/>
      <c r="CM44" s="20"/>
      <c r="CN44" s="20"/>
      <c r="CO44" s="20"/>
      <c r="CP44" s="126"/>
      <c r="CQ44" s="138">
        <f t="shared" si="31"/>
        <v>20780.375</v>
      </c>
      <c r="CR44" s="126"/>
    </row>
    <row r="45" spans="1:96" ht="15.75" customHeight="1" x14ac:dyDescent="0.2">
      <c r="A45" s="129" t="s">
        <v>70</v>
      </c>
      <c r="B45" s="34" t="s">
        <v>62</v>
      </c>
      <c r="C45" s="35">
        <v>1</v>
      </c>
      <c r="D45" s="16">
        <f ca="1">IFERROR(__xludf.DUMMYFUNCTION("+C43*$B$2"),80)</f>
        <v>80</v>
      </c>
      <c r="E45" s="36">
        <v>45700</v>
      </c>
      <c r="F45" s="37">
        <f ca="1">IFERROR(__xludf.DUMMYFUNCTION("+E43*C43"),45700)</f>
        <v>45700</v>
      </c>
      <c r="G45" s="18">
        <f ca="1">IFERROR(__xludf.DUMMYFUNCTION("+E43*D43"),3656000)</f>
        <v>3656000</v>
      </c>
      <c r="H45" s="38"/>
      <c r="J45" s="20"/>
      <c r="K45" s="20"/>
      <c r="L45" s="20">
        <f ca="1">IFERROR(__xludf.DUMMYFUNCTION("+J43+K43"),0)</f>
        <v>0</v>
      </c>
      <c r="M45" s="20">
        <f ca="1">IFERROR(__xludf.DUMMYFUNCTION("+L43*$D43"),0)</f>
        <v>0</v>
      </c>
      <c r="O45" s="20"/>
      <c r="P45" s="20"/>
      <c r="Q45" s="20">
        <f ca="1">IFERROR(__xludf.DUMMYFUNCTION("+O43+P43"),0)</f>
        <v>0</v>
      </c>
      <c r="R45" s="20">
        <f ca="1">IFERROR(__xludf.DUMMYFUNCTION("+Q43*$D43"),0)</f>
        <v>0</v>
      </c>
      <c r="T45" s="20"/>
      <c r="U45" s="20"/>
      <c r="V45" s="20">
        <f ca="1">IFERROR(__xludf.DUMMYFUNCTION("+T43+U43"),0)</f>
        <v>0</v>
      </c>
      <c r="W45" s="20">
        <f ca="1">IFERROR(__xludf.DUMMYFUNCTION("+V43*$D43"),0)</f>
        <v>0</v>
      </c>
      <c r="Y45" s="20"/>
      <c r="Z45" s="20"/>
      <c r="AA45" s="20">
        <f ca="1">IFERROR(__xludf.DUMMYFUNCTION("+Y43+Z43"),0)</f>
        <v>0</v>
      </c>
      <c r="AB45" s="20">
        <f ca="1">IFERROR(__xludf.DUMMYFUNCTION("+AA43*$D43"),0)</f>
        <v>0</v>
      </c>
      <c r="AD45" s="20"/>
      <c r="AE45" s="20"/>
      <c r="AF45" s="20">
        <f ca="1">IFERROR(__xludf.DUMMYFUNCTION("+AD43+AE43"),0)</f>
        <v>0</v>
      </c>
      <c r="AG45" s="20">
        <f ca="1">IFERROR(__xludf.DUMMYFUNCTION("+AF43*$D43"),0)</f>
        <v>0</v>
      </c>
      <c r="AI45" s="20"/>
      <c r="AJ45" s="20"/>
      <c r="AK45" s="20">
        <f ca="1">IFERROR(__xludf.DUMMYFUNCTION("+AI43+AJ43"),0)</f>
        <v>0</v>
      </c>
      <c r="AL45" s="20">
        <f ca="1">IFERROR(__xludf.DUMMYFUNCTION("+AK43*$D43"),0)</f>
        <v>0</v>
      </c>
      <c r="AN45" s="20"/>
      <c r="AO45" s="20"/>
      <c r="AP45" s="20">
        <f ca="1">IFERROR(__xludf.DUMMYFUNCTION("+AN43+AO43"),0)</f>
        <v>0</v>
      </c>
      <c r="AQ45" s="20">
        <f ca="1">IFERROR(__xludf.DUMMYFUNCTION("+AP43*$D43"),0)</f>
        <v>0</v>
      </c>
      <c r="AS45" s="20"/>
      <c r="AT45" s="20"/>
      <c r="AU45" s="20">
        <f ca="1">IFERROR(__xludf.DUMMYFUNCTION("+AS43+AT43"),0)</f>
        <v>0</v>
      </c>
      <c r="AV45" s="20">
        <f ca="1">IFERROR(__xludf.DUMMYFUNCTION("+AU43*$D43"),0)</f>
        <v>0</v>
      </c>
      <c r="AX45" s="20"/>
      <c r="AY45" s="20"/>
      <c r="AZ45" s="20">
        <f ca="1">IFERROR(__xludf.DUMMYFUNCTION("+AX43+AY43"),0)</f>
        <v>0</v>
      </c>
      <c r="BA45" s="20">
        <f ca="1">IFERROR(__xludf.DUMMYFUNCTION("+AZ43*$D43"),0)</f>
        <v>0</v>
      </c>
      <c r="BC45" s="20"/>
      <c r="BD45" s="20"/>
      <c r="BE45" s="20">
        <f ca="1">IFERROR(__xludf.DUMMYFUNCTION("+BC43+BD43"),0)</f>
        <v>0</v>
      </c>
      <c r="BF45" s="20">
        <f ca="1">IFERROR(__xludf.DUMMYFUNCTION("+BE43*$D43"),0)</f>
        <v>0</v>
      </c>
      <c r="BH45" s="20"/>
      <c r="BI45" s="20"/>
      <c r="BJ45" s="20">
        <f ca="1">IFERROR(__xludf.DUMMYFUNCTION("+BH43+BI43"),0)</f>
        <v>0</v>
      </c>
      <c r="BK45" s="20">
        <f ca="1">IFERROR(__xludf.DUMMYFUNCTION("+BJ43*$D43"),0)</f>
        <v>0</v>
      </c>
      <c r="BM45" s="20">
        <v>45700</v>
      </c>
      <c r="BN45" s="20">
        <f t="shared" si="22"/>
        <v>8683</v>
      </c>
      <c r="BO45" s="20">
        <f t="shared" si="23"/>
        <v>54383</v>
      </c>
      <c r="BP45" s="20">
        <f t="shared" ca="1" si="24"/>
        <v>4350640</v>
      </c>
      <c r="BR45" s="20">
        <v>61500</v>
      </c>
      <c r="BS45" s="20">
        <f t="shared" si="33"/>
        <v>11685</v>
      </c>
      <c r="BT45" s="135">
        <f t="shared" si="26"/>
        <v>73185</v>
      </c>
      <c r="BU45" s="20">
        <f t="shared" ca="1" si="20"/>
        <v>5854800</v>
      </c>
      <c r="BW45" s="20">
        <f>BM45</f>
        <v>45700</v>
      </c>
      <c r="BX45" s="20">
        <f t="shared" si="27"/>
        <v>8683</v>
      </c>
      <c r="BY45" s="20">
        <f t="shared" si="28"/>
        <v>54383</v>
      </c>
      <c r="BZ45" s="20">
        <f t="shared" ca="1" si="32"/>
        <v>4350640</v>
      </c>
      <c r="CB45" s="20">
        <v>63600</v>
      </c>
      <c r="CC45" s="20">
        <f t="shared" si="29"/>
        <v>12084</v>
      </c>
      <c r="CD45" s="20">
        <f t="shared" si="30"/>
        <v>75684</v>
      </c>
      <c r="CE45" s="20">
        <f t="shared" ca="1" si="21"/>
        <v>6054720</v>
      </c>
      <c r="CG45" s="20"/>
      <c r="CH45" s="20"/>
      <c r="CI45" s="20"/>
      <c r="CJ45" s="20"/>
      <c r="CL45" s="20"/>
      <c r="CM45" s="20"/>
      <c r="CN45" s="20"/>
      <c r="CO45" s="20"/>
      <c r="CP45" s="126"/>
      <c r="CQ45" s="138">
        <f t="shared" si="31"/>
        <v>64408.75</v>
      </c>
      <c r="CR45" s="126"/>
    </row>
    <row r="46" spans="1:96" ht="15.75" customHeight="1" x14ac:dyDescent="0.2">
      <c r="A46" s="272" t="s">
        <v>71</v>
      </c>
      <c r="B46" s="273"/>
      <c r="C46" s="273"/>
      <c r="D46" s="273"/>
      <c r="E46" s="273"/>
      <c r="F46" s="273"/>
      <c r="G46" s="273"/>
      <c r="H46" s="274"/>
      <c r="J46" s="10"/>
      <c r="K46" s="11"/>
      <c r="L46" s="11"/>
      <c r="M46" s="12"/>
      <c r="O46" s="10"/>
      <c r="P46" s="11"/>
      <c r="Q46" s="11"/>
      <c r="R46" s="12"/>
      <c r="T46" s="10"/>
      <c r="U46" s="11"/>
      <c r="V46" s="11"/>
      <c r="W46" s="12"/>
      <c r="Y46" s="10"/>
      <c r="Z46" s="11"/>
      <c r="AA46" s="11"/>
      <c r="AB46" s="12"/>
      <c r="AD46" s="10"/>
      <c r="AE46" s="11"/>
      <c r="AF46" s="11"/>
      <c r="AG46" s="12"/>
      <c r="AI46" s="10"/>
      <c r="AJ46" s="11"/>
      <c r="AK46" s="11"/>
      <c r="AL46" s="12"/>
      <c r="AM46" s="13"/>
      <c r="AN46" s="10"/>
      <c r="AO46" s="11"/>
      <c r="AP46" s="11"/>
      <c r="AQ46" s="12"/>
      <c r="AS46" s="10"/>
      <c r="AT46" s="11"/>
      <c r="AU46" s="11"/>
      <c r="AV46" s="12"/>
      <c r="AX46" s="10"/>
      <c r="AY46" s="11"/>
      <c r="AZ46" s="11"/>
      <c r="BA46" s="12"/>
      <c r="BC46" s="10"/>
      <c r="BD46" s="11"/>
      <c r="BE46" s="11"/>
      <c r="BF46" s="12"/>
      <c r="BH46" s="10"/>
      <c r="BI46" s="11"/>
      <c r="BJ46" s="11"/>
      <c r="BK46" s="12"/>
      <c r="BM46" s="10"/>
      <c r="BN46" s="11"/>
      <c r="BO46" s="11"/>
      <c r="BP46" s="12"/>
      <c r="BR46" s="10"/>
      <c r="BS46" s="11"/>
      <c r="BT46" s="11"/>
      <c r="BU46" s="12"/>
      <c r="BW46" s="10"/>
      <c r="BX46" s="11"/>
      <c r="BY46" s="11"/>
      <c r="BZ46" s="12"/>
      <c r="CB46" s="10"/>
      <c r="CC46" s="11"/>
      <c r="CD46" s="11"/>
      <c r="CE46" s="12"/>
      <c r="CG46" s="10"/>
      <c r="CH46" s="11"/>
      <c r="CI46" s="11"/>
      <c r="CJ46" s="12"/>
      <c r="CL46" s="10"/>
      <c r="CM46" s="11"/>
      <c r="CN46" s="11"/>
      <c r="CO46" s="12"/>
      <c r="CQ46" s="142"/>
    </row>
    <row r="47" spans="1:96" ht="15.75" customHeight="1" x14ac:dyDescent="0.2">
      <c r="A47" s="42" t="s">
        <v>72</v>
      </c>
      <c r="B47" s="15" t="s">
        <v>23</v>
      </c>
      <c r="C47" s="22">
        <v>25</v>
      </c>
      <c r="D47" s="16">
        <f ca="1">IFERROR(__xludf.DUMMYFUNCTION("+C45*$B$2"),2000)</f>
        <v>2000</v>
      </c>
      <c r="E47" s="23">
        <v>2800</v>
      </c>
      <c r="F47" s="24">
        <v>70000</v>
      </c>
      <c r="G47" s="18">
        <f ca="1">IFERROR(__xludf.DUMMYFUNCTION("+E45*D45"),5600000)</f>
        <v>5600000</v>
      </c>
      <c r="H47" s="43" t="s">
        <v>73</v>
      </c>
      <c r="J47" s="20"/>
      <c r="K47" s="20"/>
      <c r="L47" s="20">
        <f ca="1">IFERROR(__xludf.DUMMYFUNCTION("+J45+K45"),0)</f>
        <v>0</v>
      </c>
      <c r="M47" s="20">
        <f ca="1">IFERROR(__xludf.DUMMYFUNCTION("+L45*$D45"),0)</f>
        <v>0</v>
      </c>
      <c r="O47" s="20"/>
      <c r="P47" s="20"/>
      <c r="Q47" s="20">
        <f ca="1">IFERROR(__xludf.DUMMYFUNCTION("+O45+P45"),0)</f>
        <v>0</v>
      </c>
      <c r="R47" s="20">
        <f ca="1">IFERROR(__xludf.DUMMYFUNCTION("+Q45*$D45"),0)</f>
        <v>0</v>
      </c>
      <c r="T47" s="20"/>
      <c r="U47" s="20"/>
      <c r="V47" s="20">
        <f ca="1">IFERROR(__xludf.DUMMYFUNCTION("+T45+U45"),0)</f>
        <v>0</v>
      </c>
      <c r="W47" s="20">
        <f ca="1">IFERROR(__xludf.DUMMYFUNCTION("+V45*$D45"),0)</f>
        <v>0</v>
      </c>
      <c r="Y47" s="20"/>
      <c r="Z47" s="20"/>
      <c r="AA47" s="20">
        <f ca="1">IFERROR(__xludf.DUMMYFUNCTION("+Y45+Z45"),0)</f>
        <v>0</v>
      </c>
      <c r="AB47" s="20">
        <f ca="1">IFERROR(__xludf.DUMMYFUNCTION("+AA45*$D45"),0)</f>
        <v>0</v>
      </c>
      <c r="AD47" s="20"/>
      <c r="AE47" s="20"/>
      <c r="AF47" s="20">
        <f ca="1">IFERROR(__xludf.DUMMYFUNCTION("+AD45+AE45"),0)</f>
        <v>0</v>
      </c>
      <c r="AG47" s="20">
        <f ca="1">IFERROR(__xludf.DUMMYFUNCTION("+AF45*$D45"),0)</f>
        <v>0</v>
      </c>
      <c r="AI47" s="20"/>
      <c r="AJ47" s="20"/>
      <c r="AK47" s="20">
        <f ca="1">IFERROR(__xludf.DUMMYFUNCTION("+AI45+AJ45"),0)</f>
        <v>0</v>
      </c>
      <c r="AL47" s="20">
        <f ca="1">IFERROR(__xludf.DUMMYFUNCTION("+AK45*$D45"),0)</f>
        <v>0</v>
      </c>
      <c r="AM47" s="44"/>
      <c r="AN47" s="20"/>
      <c r="AO47" s="20"/>
      <c r="AP47" s="20">
        <f ca="1">IFERROR(__xludf.DUMMYFUNCTION("+AN45+AO45"),0)</f>
        <v>0</v>
      </c>
      <c r="AQ47" s="20">
        <f ca="1">IFERROR(__xludf.DUMMYFUNCTION("+AP45*$D45"),0)</f>
        <v>0</v>
      </c>
      <c r="AS47" s="20"/>
      <c r="AT47" s="20"/>
      <c r="AU47" s="20">
        <f ca="1">IFERROR(__xludf.DUMMYFUNCTION("+AS45+AT45"),0)</f>
        <v>0</v>
      </c>
      <c r="AV47" s="20">
        <f ca="1">IFERROR(__xludf.DUMMYFUNCTION("+AU45*$D45"),0)</f>
        <v>0</v>
      </c>
      <c r="AX47" s="20"/>
      <c r="AY47" s="20"/>
      <c r="AZ47" s="20">
        <f ca="1">IFERROR(__xludf.DUMMYFUNCTION("+AX45+AY45"),0)</f>
        <v>0</v>
      </c>
      <c r="BA47" s="20">
        <f ca="1">IFERROR(__xludf.DUMMYFUNCTION("+AZ45*$D45"),0)</f>
        <v>0</v>
      </c>
      <c r="BC47" s="20"/>
      <c r="BD47" s="20"/>
      <c r="BE47" s="20">
        <f ca="1">IFERROR(__xludf.DUMMYFUNCTION("+BC45+BD45"),0)</f>
        <v>0</v>
      </c>
      <c r="BF47" s="20">
        <f ca="1">IFERROR(__xludf.DUMMYFUNCTION("+BE45*$D45"),0)</f>
        <v>0</v>
      </c>
      <c r="BH47" s="20"/>
      <c r="BI47" s="20"/>
      <c r="BJ47" s="20">
        <f ca="1">IFERROR(__xludf.DUMMYFUNCTION("+BH45+BI45"),0)</f>
        <v>0</v>
      </c>
      <c r="BK47" s="20">
        <f ca="1">IFERROR(__xludf.DUMMYFUNCTION("+BJ45*$D45"),0)</f>
        <v>0</v>
      </c>
      <c r="BM47" s="123">
        <v>3000</v>
      </c>
      <c r="BN47" s="20"/>
      <c r="BO47" s="20">
        <f>BM47</f>
        <v>3000</v>
      </c>
      <c r="BP47" s="20">
        <f ca="1">BO47*D47</f>
        <v>6000000</v>
      </c>
      <c r="BR47" s="123">
        <v>4800</v>
      </c>
      <c r="BS47" s="20"/>
      <c r="BT47" s="20">
        <f>BR47</f>
        <v>4800</v>
      </c>
      <c r="BU47" s="20">
        <f ca="1">BT47*D47</f>
        <v>9600000</v>
      </c>
      <c r="BW47" s="221">
        <v>2500</v>
      </c>
      <c r="BX47" s="20"/>
      <c r="BY47" s="20">
        <f>BW47</f>
        <v>2500</v>
      </c>
      <c r="BZ47" s="20">
        <f ca="1">BY47*D47</f>
        <v>5000000</v>
      </c>
      <c r="CB47" s="128">
        <v>4024.9999999999995</v>
      </c>
      <c r="CC47" s="20"/>
      <c r="CD47" s="20">
        <f>CB47</f>
        <v>4024.9999999999995</v>
      </c>
      <c r="CE47" s="20">
        <f ca="1">CD47*D47</f>
        <v>8049999.9999999991</v>
      </c>
      <c r="CG47" s="123"/>
      <c r="CH47" s="20"/>
      <c r="CI47" s="20"/>
      <c r="CJ47" s="20"/>
      <c r="CL47" s="123"/>
      <c r="CM47" s="20"/>
      <c r="CN47" s="20"/>
      <c r="CO47" s="20"/>
      <c r="CQ47" s="138">
        <f>AVERAGE(BO47,BT47,BY47,CD47)</f>
        <v>3581.25</v>
      </c>
    </row>
    <row r="48" spans="1:96" ht="15.75" customHeight="1" x14ac:dyDescent="0.2">
      <c r="A48" s="42" t="s">
        <v>74</v>
      </c>
      <c r="B48" s="15" t="s">
        <v>23</v>
      </c>
      <c r="C48" s="22">
        <v>5</v>
      </c>
      <c r="D48" s="16">
        <f ca="1">IFERROR(__xludf.DUMMYFUNCTION("+C46*$B$2"),400)</f>
        <v>400</v>
      </c>
      <c r="E48" s="23">
        <v>4000</v>
      </c>
      <c r="F48" s="24">
        <v>20000</v>
      </c>
      <c r="G48" s="18">
        <f ca="1">IFERROR(__xludf.DUMMYFUNCTION("+E46*D46"),1600000)</f>
        <v>1600000</v>
      </c>
      <c r="H48" s="43" t="s">
        <v>73</v>
      </c>
      <c r="J48" s="20"/>
      <c r="K48" s="20"/>
      <c r="L48" s="20">
        <f ca="1">IFERROR(__xludf.DUMMYFUNCTION("+J46+K46"),0)</f>
        <v>0</v>
      </c>
      <c r="M48" s="20">
        <f ca="1">IFERROR(__xludf.DUMMYFUNCTION("+L46*$D46"),0)</f>
        <v>0</v>
      </c>
      <c r="O48" s="20"/>
      <c r="P48" s="20"/>
      <c r="Q48" s="20">
        <f ca="1">IFERROR(__xludf.DUMMYFUNCTION("+O46+P46"),0)</f>
        <v>0</v>
      </c>
      <c r="R48" s="20">
        <f ca="1">IFERROR(__xludf.DUMMYFUNCTION("+Q46*$D46"),0)</f>
        <v>0</v>
      </c>
      <c r="T48" s="20"/>
      <c r="U48" s="20"/>
      <c r="V48" s="20">
        <f ca="1">IFERROR(__xludf.DUMMYFUNCTION("+T46+U46"),0)</f>
        <v>0</v>
      </c>
      <c r="W48" s="20">
        <f ca="1">IFERROR(__xludf.DUMMYFUNCTION("+V46*$D46"),0)</f>
        <v>0</v>
      </c>
      <c r="Y48" s="20"/>
      <c r="Z48" s="20"/>
      <c r="AA48" s="20">
        <f ca="1">IFERROR(__xludf.DUMMYFUNCTION("+Y46+Z46"),0)</f>
        <v>0</v>
      </c>
      <c r="AB48" s="20">
        <f ca="1">IFERROR(__xludf.DUMMYFUNCTION("+AA46*$D46"),0)</f>
        <v>0</v>
      </c>
      <c r="AD48" s="20"/>
      <c r="AE48" s="20"/>
      <c r="AF48" s="20">
        <f ca="1">IFERROR(__xludf.DUMMYFUNCTION("+AD46+AE46"),0)</f>
        <v>0</v>
      </c>
      <c r="AG48" s="20">
        <f ca="1">IFERROR(__xludf.DUMMYFUNCTION("+AF46*$D46"),0)</f>
        <v>0</v>
      </c>
      <c r="AI48" s="20"/>
      <c r="AJ48" s="20"/>
      <c r="AK48" s="20">
        <f ca="1">IFERROR(__xludf.DUMMYFUNCTION("+AI46+AJ46"),0)</f>
        <v>0</v>
      </c>
      <c r="AL48" s="20">
        <f ca="1">IFERROR(__xludf.DUMMYFUNCTION("+AK46*$D46"),0)</f>
        <v>0</v>
      </c>
      <c r="AM48" s="44"/>
      <c r="AN48" s="20"/>
      <c r="AO48" s="20"/>
      <c r="AP48" s="20">
        <f ca="1">IFERROR(__xludf.DUMMYFUNCTION("+AN46+AO46"),0)</f>
        <v>0</v>
      </c>
      <c r="AQ48" s="20">
        <f ca="1">IFERROR(__xludf.DUMMYFUNCTION("+AP46*$D46"),0)</f>
        <v>0</v>
      </c>
      <c r="AS48" s="20"/>
      <c r="AT48" s="20"/>
      <c r="AU48" s="20">
        <f ca="1">IFERROR(__xludf.DUMMYFUNCTION("+AS46+AT46"),0)</f>
        <v>0</v>
      </c>
      <c r="AV48" s="20">
        <f ca="1">IFERROR(__xludf.DUMMYFUNCTION("+AU46*$D46"),0)</f>
        <v>0</v>
      </c>
      <c r="AX48" s="20"/>
      <c r="AY48" s="20"/>
      <c r="AZ48" s="20">
        <f ca="1">IFERROR(__xludf.DUMMYFUNCTION("+AX46+AY46"),0)</f>
        <v>0</v>
      </c>
      <c r="BA48" s="20">
        <f ca="1">IFERROR(__xludf.DUMMYFUNCTION("+AZ46*$D46"),0)</f>
        <v>0</v>
      </c>
      <c r="BC48" s="20"/>
      <c r="BD48" s="20"/>
      <c r="BE48" s="20">
        <f ca="1">IFERROR(__xludf.DUMMYFUNCTION("+BC46+BD46"),0)</f>
        <v>0</v>
      </c>
      <c r="BF48" s="20">
        <f ca="1">IFERROR(__xludf.DUMMYFUNCTION("+BE46*$D46"),0)</f>
        <v>0</v>
      </c>
      <c r="BH48" s="20">
        <v>9000</v>
      </c>
      <c r="BI48" s="20"/>
      <c r="BJ48" s="20">
        <v>9000</v>
      </c>
      <c r="BK48" s="20">
        <f ca="1">IFERROR(__xludf.DUMMYFUNCTION("+BJ13*$D13"),6000000)</f>
        <v>6000000</v>
      </c>
      <c r="BM48" s="123">
        <v>9200</v>
      </c>
      <c r="BN48" s="124"/>
      <c r="BO48" s="124">
        <f t="shared" ref="BO48" si="35">BM48</f>
        <v>9200</v>
      </c>
      <c r="BP48" s="124">
        <f t="shared" ref="BP48" ca="1" si="36">BO48*D48</f>
        <v>3680000</v>
      </c>
      <c r="BR48" s="123">
        <v>9150</v>
      </c>
      <c r="BS48" s="124"/>
      <c r="BT48" s="124">
        <f t="shared" ref="BT48" si="37">BR48</f>
        <v>9150</v>
      </c>
      <c r="BU48" s="124">
        <f t="shared" ref="BU48" ca="1" si="38">BT48*D48</f>
        <v>3660000</v>
      </c>
      <c r="BW48" s="221">
        <v>9075</v>
      </c>
      <c r="BX48" s="124"/>
      <c r="BY48" s="124">
        <f t="shared" ref="BY48" si="39">BW48</f>
        <v>9075</v>
      </c>
      <c r="BZ48" s="124">
        <f t="shared" ref="BZ48" si="40">BY48*I48</f>
        <v>0</v>
      </c>
      <c r="CB48" s="128">
        <v>9025</v>
      </c>
      <c r="CC48" s="124"/>
      <c r="CD48" s="124">
        <f t="shared" ref="CD48" si="41">CB48</f>
        <v>9025</v>
      </c>
      <c r="CE48" s="124">
        <f t="shared" ref="CE48" ca="1" si="42">CD48*D48</f>
        <v>3610000</v>
      </c>
      <c r="CG48" s="123"/>
      <c r="CH48" s="20"/>
      <c r="CI48" s="20"/>
      <c r="CJ48" s="20"/>
      <c r="CL48" s="123"/>
      <c r="CM48" s="20"/>
      <c r="CN48" s="20"/>
      <c r="CO48" s="20"/>
      <c r="CQ48" s="138">
        <f>AVERAGE(BO48,BT48,BY48,CD48)</f>
        <v>9112.5</v>
      </c>
    </row>
    <row r="49" spans="1:95" ht="15.75" customHeight="1" x14ac:dyDescent="0.2">
      <c r="A49" s="42" t="s">
        <v>72</v>
      </c>
      <c r="B49" s="15" t="s">
        <v>23</v>
      </c>
      <c r="C49" s="22">
        <v>25</v>
      </c>
      <c r="D49" s="16">
        <f ca="1">IFERROR(__xludf.DUMMYFUNCTION("+C47*$B$2"),2000)</f>
        <v>2000</v>
      </c>
      <c r="E49" s="23">
        <v>2800</v>
      </c>
      <c r="F49" s="24">
        <v>70000</v>
      </c>
      <c r="G49" s="18">
        <f ca="1">IFERROR(__xludf.DUMMYFUNCTION("+E47*D47"),5600000)</f>
        <v>5600000</v>
      </c>
      <c r="H49" s="43" t="s">
        <v>75</v>
      </c>
      <c r="J49" s="20"/>
      <c r="K49" s="20"/>
      <c r="L49" s="20">
        <f ca="1">IFERROR(__xludf.DUMMYFUNCTION("+J47+K47"),0)</f>
        <v>0</v>
      </c>
      <c r="M49" s="20">
        <f ca="1">IFERROR(__xludf.DUMMYFUNCTION("+L47*$D47"),0)</f>
        <v>0</v>
      </c>
      <c r="O49" s="20"/>
      <c r="P49" s="20"/>
      <c r="Q49" s="20">
        <f ca="1">IFERROR(__xludf.DUMMYFUNCTION("+O47+P47"),0)</f>
        <v>0</v>
      </c>
      <c r="R49" s="20">
        <f ca="1">IFERROR(__xludf.DUMMYFUNCTION("+Q47*$D47"),0)</f>
        <v>0</v>
      </c>
      <c r="T49" s="20"/>
      <c r="U49" s="20"/>
      <c r="V49" s="20">
        <f ca="1">IFERROR(__xludf.DUMMYFUNCTION("+T47+U47"),0)</f>
        <v>0</v>
      </c>
      <c r="W49" s="20">
        <f ca="1">IFERROR(__xludf.DUMMYFUNCTION("+V47*$D47"),0)</f>
        <v>0</v>
      </c>
      <c r="Y49" s="20"/>
      <c r="Z49" s="20"/>
      <c r="AA49" s="20">
        <f ca="1">IFERROR(__xludf.DUMMYFUNCTION("+Y47+Z47"),0)</f>
        <v>0</v>
      </c>
      <c r="AB49" s="20">
        <f ca="1">IFERROR(__xludf.DUMMYFUNCTION("+AA47*$D47"),0)</f>
        <v>0</v>
      </c>
      <c r="AD49" s="20"/>
      <c r="AE49" s="20"/>
      <c r="AF49" s="20">
        <f ca="1">IFERROR(__xludf.DUMMYFUNCTION("+AD47+AE47"),0)</f>
        <v>0</v>
      </c>
      <c r="AG49" s="20">
        <f ca="1">IFERROR(__xludf.DUMMYFUNCTION("+AF47*$D47"),0)</f>
        <v>0</v>
      </c>
      <c r="AI49" s="20"/>
      <c r="AJ49" s="20"/>
      <c r="AK49" s="20">
        <f ca="1">IFERROR(__xludf.DUMMYFUNCTION("+AI47+AJ47"),0)</f>
        <v>0</v>
      </c>
      <c r="AL49" s="20">
        <f ca="1">IFERROR(__xludf.DUMMYFUNCTION("+AK47*$D47"),0)</f>
        <v>0</v>
      </c>
      <c r="AM49" s="44"/>
      <c r="AN49" s="20"/>
      <c r="AO49" s="20"/>
      <c r="AP49" s="20">
        <f ca="1">IFERROR(__xludf.DUMMYFUNCTION("+AN47+AO47"),0)</f>
        <v>0</v>
      </c>
      <c r="AQ49" s="20">
        <f ca="1">IFERROR(__xludf.DUMMYFUNCTION("+AP47*$D47"),0)</f>
        <v>0</v>
      </c>
      <c r="AS49" s="20"/>
      <c r="AT49" s="20"/>
      <c r="AU49" s="20">
        <f ca="1">IFERROR(__xludf.DUMMYFUNCTION("+AS47+AT47"),0)</f>
        <v>0</v>
      </c>
      <c r="AV49" s="20">
        <f ca="1">IFERROR(__xludf.DUMMYFUNCTION("+AU47*$D47"),0)</f>
        <v>0</v>
      </c>
      <c r="AX49" s="20"/>
      <c r="AY49" s="20"/>
      <c r="AZ49" s="20">
        <f ca="1">IFERROR(__xludf.DUMMYFUNCTION("+AX47+AY47"),0)</f>
        <v>0</v>
      </c>
      <c r="BA49" s="20">
        <f ca="1">IFERROR(__xludf.DUMMYFUNCTION("+AZ47*$D47"),0)</f>
        <v>0</v>
      </c>
      <c r="BC49" s="20"/>
      <c r="BD49" s="20"/>
      <c r="BE49" s="20">
        <f ca="1">IFERROR(__xludf.DUMMYFUNCTION("+BC47+BD47"),0)</f>
        <v>0</v>
      </c>
      <c r="BF49" s="20">
        <f ca="1">IFERROR(__xludf.DUMMYFUNCTION("+BE47*$D47"),0)</f>
        <v>0</v>
      </c>
      <c r="BH49" s="20"/>
      <c r="BI49" s="20"/>
      <c r="BJ49" s="20">
        <f ca="1">IFERROR(__xludf.DUMMYFUNCTION("+BH47+BI47"),0)</f>
        <v>0</v>
      </c>
      <c r="BK49" s="20">
        <f ca="1">IFERROR(__xludf.DUMMYFUNCTION("+BJ47*$D47"),0)</f>
        <v>0</v>
      </c>
      <c r="BM49" s="123">
        <v>3000</v>
      </c>
      <c r="BN49" s="20"/>
      <c r="BO49" s="20">
        <f t="shared" ref="BO49:BO50" si="43">BM49</f>
        <v>3000</v>
      </c>
      <c r="BP49" s="20">
        <f t="shared" ref="BP49:BP50" ca="1" si="44">BO49*D49</f>
        <v>6000000</v>
      </c>
      <c r="BR49" s="123">
        <v>4800</v>
      </c>
      <c r="BS49" s="20"/>
      <c r="BT49" s="20">
        <f t="shared" ref="BT49:BT50" si="45">BR49</f>
        <v>4800</v>
      </c>
      <c r="BU49" s="20">
        <f t="shared" ref="BU49:BU50" ca="1" si="46">BT49*D49</f>
        <v>9600000</v>
      </c>
      <c r="BW49" s="221">
        <v>2500</v>
      </c>
      <c r="BX49" s="20"/>
      <c r="BY49" s="20">
        <f t="shared" ref="BY49:BY50" si="47">BW49</f>
        <v>2500</v>
      </c>
      <c r="BZ49" s="20">
        <f t="shared" ref="BZ49" ca="1" si="48">BY49*D49</f>
        <v>5000000</v>
      </c>
      <c r="CB49" s="128">
        <v>4024.9999999999995</v>
      </c>
      <c r="CC49" s="20"/>
      <c r="CD49" s="20">
        <f t="shared" ref="CD49:CD50" si="49">CB49</f>
        <v>4024.9999999999995</v>
      </c>
      <c r="CE49" s="20">
        <f ca="1">CD49*D49</f>
        <v>8049999.9999999991</v>
      </c>
      <c r="CG49" s="123"/>
      <c r="CH49" s="20"/>
      <c r="CI49" s="20"/>
      <c r="CJ49" s="20"/>
      <c r="CL49" s="123"/>
      <c r="CM49" s="20"/>
      <c r="CN49" s="20"/>
      <c r="CO49" s="20"/>
      <c r="CQ49" s="138">
        <f t="shared" si="31"/>
        <v>3581.25</v>
      </c>
    </row>
    <row r="50" spans="1:95" ht="15.75" customHeight="1" x14ac:dyDescent="0.2">
      <c r="A50" s="42" t="s">
        <v>74</v>
      </c>
      <c r="B50" s="15" t="s">
        <v>23</v>
      </c>
      <c r="C50" s="22">
        <v>5</v>
      </c>
      <c r="D50" s="16">
        <f ca="1">IFERROR(__xludf.DUMMYFUNCTION("+C48*$B$2"),400)</f>
        <v>400</v>
      </c>
      <c r="E50" s="23">
        <v>4000</v>
      </c>
      <c r="F50" s="24">
        <v>20000</v>
      </c>
      <c r="G50" s="18">
        <f ca="1">IFERROR(__xludf.DUMMYFUNCTION("+E48*D48"),1600000)</f>
        <v>1600000</v>
      </c>
      <c r="H50" s="43" t="s">
        <v>75</v>
      </c>
      <c r="J50" s="20"/>
      <c r="K50" s="20"/>
      <c r="L50" s="20">
        <f ca="1">IFERROR(__xludf.DUMMYFUNCTION("+J48+K48"),0)</f>
        <v>0</v>
      </c>
      <c r="M50" s="20">
        <f ca="1">IFERROR(__xludf.DUMMYFUNCTION("+L48*$D48"),0)</f>
        <v>0</v>
      </c>
      <c r="O50" s="20"/>
      <c r="P50" s="20"/>
      <c r="Q50" s="20">
        <f ca="1">IFERROR(__xludf.DUMMYFUNCTION("+O48+P48"),0)</f>
        <v>0</v>
      </c>
      <c r="R50" s="20">
        <f ca="1">IFERROR(__xludf.DUMMYFUNCTION("+Q48*$D48"),0)</f>
        <v>0</v>
      </c>
      <c r="T50" s="20"/>
      <c r="U50" s="20"/>
      <c r="V50" s="20">
        <f ca="1">IFERROR(__xludf.DUMMYFUNCTION("+T48+U48"),0)</f>
        <v>0</v>
      </c>
      <c r="W50" s="20">
        <f ca="1">IFERROR(__xludf.DUMMYFUNCTION("+V48*$D48"),0)</f>
        <v>0</v>
      </c>
      <c r="Y50" s="20"/>
      <c r="Z50" s="20"/>
      <c r="AA50" s="20">
        <f ca="1">IFERROR(__xludf.DUMMYFUNCTION("+Y48+Z48"),0)</f>
        <v>0</v>
      </c>
      <c r="AB50" s="20">
        <f ca="1">IFERROR(__xludf.DUMMYFUNCTION("+AA48*$D48"),0)</f>
        <v>0</v>
      </c>
      <c r="AD50" s="20"/>
      <c r="AE50" s="20"/>
      <c r="AF50" s="20">
        <f ca="1">IFERROR(__xludf.DUMMYFUNCTION("+AD48+AE48"),0)</f>
        <v>0</v>
      </c>
      <c r="AG50" s="20">
        <f ca="1">IFERROR(__xludf.DUMMYFUNCTION("+AF48*$D48"),0)</f>
        <v>0</v>
      </c>
      <c r="AI50" s="20"/>
      <c r="AJ50" s="20"/>
      <c r="AK50" s="20">
        <f ca="1">IFERROR(__xludf.DUMMYFUNCTION("+AI48+AJ48"),0)</f>
        <v>0</v>
      </c>
      <c r="AL50" s="20">
        <f ca="1">IFERROR(__xludf.DUMMYFUNCTION("+AK48*$D48"),0)</f>
        <v>0</v>
      </c>
      <c r="AM50" s="44"/>
      <c r="AN50" s="20"/>
      <c r="AO50" s="20"/>
      <c r="AP50" s="20">
        <f ca="1">IFERROR(__xludf.DUMMYFUNCTION("+AN48+AO48"),0)</f>
        <v>0</v>
      </c>
      <c r="AQ50" s="20">
        <f ca="1">IFERROR(__xludf.DUMMYFUNCTION("+AP48*$D48"),0)</f>
        <v>0</v>
      </c>
      <c r="AS50" s="20"/>
      <c r="AT50" s="20"/>
      <c r="AU50" s="20">
        <f ca="1">IFERROR(__xludf.DUMMYFUNCTION("+AS48+AT48"),0)</f>
        <v>0</v>
      </c>
      <c r="AV50" s="20">
        <f ca="1">IFERROR(__xludf.DUMMYFUNCTION("+AU48*$D48"),0)</f>
        <v>0</v>
      </c>
      <c r="AX50" s="20"/>
      <c r="AY50" s="20"/>
      <c r="AZ50" s="20">
        <f ca="1">IFERROR(__xludf.DUMMYFUNCTION("+AX48+AY48"),0)</f>
        <v>0</v>
      </c>
      <c r="BA50" s="20">
        <f ca="1">IFERROR(__xludf.DUMMYFUNCTION("+AZ48*$D48"),0)</f>
        <v>0</v>
      </c>
      <c r="BC50" s="20"/>
      <c r="BD50" s="20"/>
      <c r="BE50" s="20">
        <f ca="1">IFERROR(__xludf.DUMMYFUNCTION("+BC48+BD48"),0)</f>
        <v>0</v>
      </c>
      <c r="BF50" s="20">
        <f ca="1">IFERROR(__xludf.DUMMYFUNCTION("+BE48*$D48"),0)</f>
        <v>0</v>
      </c>
      <c r="BH50" s="20">
        <v>9000</v>
      </c>
      <c r="BI50" s="20"/>
      <c r="BJ50" s="20">
        <v>9000</v>
      </c>
      <c r="BK50" s="20">
        <f ca="1">IFERROR(__xludf.DUMMYFUNCTION("+BJ13*$D13"),6000000)</f>
        <v>6000000</v>
      </c>
      <c r="BM50" s="123">
        <v>9200</v>
      </c>
      <c r="BN50" s="124"/>
      <c r="BO50" s="124">
        <f t="shared" si="43"/>
        <v>9200</v>
      </c>
      <c r="BP50" s="124">
        <f t="shared" ca="1" si="44"/>
        <v>3680000</v>
      </c>
      <c r="BR50" s="123">
        <v>9150</v>
      </c>
      <c r="BS50" s="124"/>
      <c r="BT50" s="124">
        <f t="shared" si="45"/>
        <v>9150</v>
      </c>
      <c r="BU50" s="124">
        <f t="shared" ca="1" si="46"/>
        <v>3660000</v>
      </c>
      <c r="BW50" s="221">
        <v>9075</v>
      </c>
      <c r="BX50" s="124"/>
      <c r="BY50" s="124">
        <f t="shared" si="47"/>
        <v>9075</v>
      </c>
      <c r="BZ50" s="124">
        <f t="shared" ref="BZ50" si="50">BY50*I50</f>
        <v>0</v>
      </c>
      <c r="CB50" s="128">
        <v>9025</v>
      </c>
      <c r="CC50" s="124"/>
      <c r="CD50" s="124">
        <f t="shared" si="49"/>
        <v>9025</v>
      </c>
      <c r="CE50" s="124">
        <f t="shared" ref="CE50" ca="1" si="51">CD50*D50</f>
        <v>3610000</v>
      </c>
      <c r="CG50" s="123"/>
      <c r="CH50" s="20"/>
      <c r="CI50" s="20"/>
      <c r="CJ50" s="20"/>
      <c r="CL50" s="123"/>
      <c r="CM50" s="20"/>
      <c r="CN50" s="20"/>
      <c r="CO50" s="20"/>
      <c r="CQ50" s="138">
        <f t="shared" si="31"/>
        <v>9112.5</v>
      </c>
    </row>
    <row r="51" spans="1:95" ht="15.75" customHeight="1" x14ac:dyDescent="0.2">
      <c r="A51" s="272" t="s">
        <v>76</v>
      </c>
      <c r="B51" s="273"/>
      <c r="C51" s="273"/>
      <c r="D51" s="273"/>
      <c r="E51" s="273"/>
      <c r="F51" s="273"/>
      <c r="G51" s="273"/>
      <c r="H51" s="274"/>
      <c r="J51" s="10"/>
      <c r="K51" s="11"/>
      <c r="L51" s="11"/>
      <c r="M51" s="12"/>
      <c r="O51" s="10"/>
      <c r="P51" s="11"/>
      <c r="Q51" s="11"/>
      <c r="R51" s="12"/>
      <c r="T51" s="10"/>
      <c r="U51" s="11"/>
      <c r="V51" s="11"/>
      <c r="W51" s="12"/>
      <c r="Y51" s="10"/>
      <c r="Z51" s="11"/>
      <c r="AA51" s="11"/>
      <c r="AB51" s="12"/>
      <c r="AD51" s="10"/>
      <c r="AE51" s="11"/>
      <c r="AF51" s="11"/>
      <c r="AG51" s="12"/>
      <c r="AI51" s="10"/>
      <c r="AJ51" s="11"/>
      <c r="AK51" s="11"/>
      <c r="AL51" s="12"/>
      <c r="AM51" s="45"/>
      <c r="AN51" s="10"/>
      <c r="AO51" s="11"/>
      <c r="AP51" s="11"/>
      <c r="AQ51" s="12"/>
      <c r="AS51" s="10"/>
      <c r="AT51" s="11"/>
      <c r="AU51" s="11"/>
      <c r="AV51" s="12"/>
      <c r="AX51" s="10"/>
      <c r="AY51" s="11"/>
      <c r="AZ51" s="11"/>
      <c r="BA51" s="12"/>
      <c r="BC51" s="10"/>
      <c r="BD51" s="11"/>
      <c r="BE51" s="11"/>
      <c r="BF51" s="12"/>
      <c r="BH51" s="10"/>
      <c r="BI51" s="11"/>
      <c r="BJ51" s="11"/>
      <c r="BK51" s="12"/>
      <c r="BM51" s="10"/>
      <c r="BN51" s="11"/>
      <c r="BO51" s="11"/>
      <c r="BP51" s="12"/>
      <c r="BR51" s="10"/>
      <c r="BS51" s="11"/>
      <c r="BT51" s="11"/>
      <c r="BU51" s="12"/>
      <c r="BW51" s="10"/>
      <c r="BX51" s="11"/>
      <c r="BY51" s="11"/>
      <c r="BZ51" s="12"/>
      <c r="CB51" s="10"/>
      <c r="CC51" s="11"/>
      <c r="CD51" s="11"/>
      <c r="CE51" s="12"/>
      <c r="CG51" s="10"/>
      <c r="CH51" s="11"/>
      <c r="CI51" s="11"/>
      <c r="CJ51" s="12"/>
      <c r="CL51" s="10"/>
      <c r="CM51" s="11"/>
      <c r="CN51" s="11"/>
      <c r="CO51" s="12"/>
      <c r="CQ51" s="142"/>
    </row>
    <row r="52" spans="1:95" ht="15.75" customHeight="1" x14ac:dyDescent="0.2">
      <c r="A52" s="46" t="s">
        <v>77</v>
      </c>
      <c r="B52" s="47" t="s">
        <v>78</v>
      </c>
      <c r="C52" s="47">
        <v>48</v>
      </c>
      <c r="D52" s="16">
        <f ca="1">IFERROR(__xludf.DUMMYFUNCTION("+C50*$B$2"),3840)</f>
        <v>3840</v>
      </c>
      <c r="E52" s="20">
        <v>200</v>
      </c>
      <c r="F52" s="20">
        <v>9600</v>
      </c>
      <c r="G52" s="18">
        <f ca="1">IFERROR(__xludf.DUMMYFUNCTION("+E50*D50"),768000)</f>
        <v>768000</v>
      </c>
      <c r="H52" s="48"/>
      <c r="J52" s="20"/>
      <c r="K52" s="20"/>
      <c r="L52" s="20">
        <f ca="1">IFERROR(__xludf.DUMMYFUNCTION("+J50+K50"),0)</f>
        <v>0</v>
      </c>
      <c r="M52" s="20">
        <f ca="1">IFERROR(__xludf.DUMMYFUNCTION("+L50*$D50"),0)</f>
        <v>0</v>
      </c>
      <c r="O52" s="20"/>
      <c r="P52" s="20"/>
      <c r="Q52" s="20">
        <f ca="1">IFERROR(__xludf.DUMMYFUNCTION("+O50+P50"),0)</f>
        <v>0</v>
      </c>
      <c r="R52" s="20">
        <f ca="1">IFERROR(__xludf.DUMMYFUNCTION("+Q50*$D50"),0)</f>
        <v>0</v>
      </c>
      <c r="T52" s="20"/>
      <c r="U52" s="20"/>
      <c r="V52" s="20">
        <f ca="1">IFERROR(__xludf.DUMMYFUNCTION("+T50+U50"),0)</f>
        <v>0</v>
      </c>
      <c r="W52" s="20">
        <f ca="1">IFERROR(__xludf.DUMMYFUNCTION("+V50*$D50"),0)</f>
        <v>0</v>
      </c>
      <c r="Y52" s="20"/>
      <c r="Z52" s="20"/>
      <c r="AA52" s="20">
        <f ca="1">IFERROR(__xludf.DUMMYFUNCTION("+Y50+Z50"),0)</f>
        <v>0</v>
      </c>
      <c r="AB52" s="20">
        <f ca="1">IFERROR(__xludf.DUMMYFUNCTION("+AA50*$D50"),0)</f>
        <v>0</v>
      </c>
      <c r="AD52" s="20">
        <v>240</v>
      </c>
      <c r="AE52" s="20">
        <f ca="1">IFERROR(__xludf.DUMMYFUNCTION("+AD50*19%"),45.6)</f>
        <v>45.6</v>
      </c>
      <c r="AF52" s="20">
        <f ca="1">IFERROR(__xludf.DUMMYFUNCTION("+AD50+AE50"),285.6)</f>
        <v>285.60000000000002</v>
      </c>
      <c r="AG52" s="20">
        <f ca="1">IFERROR(__xludf.DUMMYFUNCTION("+AF50*$D50"),1096704)</f>
        <v>1096704</v>
      </c>
      <c r="AI52" s="20"/>
      <c r="AJ52" s="20"/>
      <c r="AK52" s="20">
        <f ca="1">IFERROR(__xludf.DUMMYFUNCTION("+AI50+AJ50"),0)</f>
        <v>0</v>
      </c>
      <c r="AL52" s="20">
        <f ca="1">IFERROR(__xludf.DUMMYFUNCTION("+AK50*$D50"),0)</f>
        <v>0</v>
      </c>
      <c r="AM52" s="49"/>
      <c r="AN52" s="20"/>
      <c r="AO52" s="20"/>
      <c r="AP52" s="20">
        <f ca="1">IFERROR(__xludf.DUMMYFUNCTION("+AN50+AO50"),0)</f>
        <v>0</v>
      </c>
      <c r="AQ52" s="20">
        <f ca="1">IFERROR(__xludf.DUMMYFUNCTION("+AP50*$D50"),0)</f>
        <v>0</v>
      </c>
      <c r="AS52" s="20"/>
      <c r="AT52" s="20"/>
      <c r="AU52" s="20">
        <f ca="1">IFERROR(__xludf.DUMMYFUNCTION("+AS50+AT50"),0)</f>
        <v>0</v>
      </c>
      <c r="AV52" s="20">
        <f ca="1">IFERROR(__xludf.DUMMYFUNCTION("+AU50*$D50"),0)</f>
        <v>0</v>
      </c>
      <c r="AX52" s="20"/>
      <c r="AY52" s="20"/>
      <c r="AZ52" s="20">
        <f ca="1">IFERROR(__xludf.DUMMYFUNCTION("+AX50+AY50"),0)</f>
        <v>0</v>
      </c>
      <c r="BA52" s="20">
        <f ca="1">IFERROR(__xludf.DUMMYFUNCTION("+AZ50*$D50"),0)</f>
        <v>0</v>
      </c>
      <c r="BC52" s="20"/>
      <c r="BD52" s="20"/>
      <c r="BE52" s="20">
        <f ca="1">IFERROR(__xludf.DUMMYFUNCTION("+BC50+BD50"),0)</f>
        <v>0</v>
      </c>
      <c r="BF52" s="20">
        <f ca="1">IFERROR(__xludf.DUMMYFUNCTION("+BE50*$D50"),0)</f>
        <v>0</v>
      </c>
      <c r="BH52" s="20"/>
      <c r="BI52" s="20"/>
      <c r="BJ52" s="20">
        <f ca="1">IFERROR(__xludf.DUMMYFUNCTION("+BH50+BI50"),0)</f>
        <v>0</v>
      </c>
      <c r="BK52" s="20">
        <f ca="1">IFERROR(__xludf.DUMMYFUNCTION("+BJ50*$D50"),0)</f>
        <v>0</v>
      </c>
      <c r="BM52" s="20"/>
      <c r="BN52" s="20"/>
      <c r="BO52" s="20">
        <f ca="1">IFERROR(__xludf.DUMMYFUNCTION("+BH50+BI50"),0)</f>
        <v>0</v>
      </c>
      <c r="BP52" s="20">
        <f ca="1">IFERROR(__xludf.DUMMYFUNCTION("+BJ50*$D50"),0)</f>
        <v>0</v>
      </c>
      <c r="BR52" s="20"/>
      <c r="BS52" s="20"/>
      <c r="BT52" s="20">
        <f ca="1">IFERROR(__xludf.DUMMYFUNCTION("+BH50+BI50"),0)</f>
        <v>0</v>
      </c>
      <c r="BU52" s="20">
        <f ca="1">IFERROR(__xludf.DUMMYFUNCTION("+BJ50*$D50"),0)</f>
        <v>0</v>
      </c>
      <c r="BW52" s="20"/>
      <c r="BX52" s="20"/>
      <c r="BY52" s="20">
        <f ca="1">IFERROR(__xludf.DUMMYFUNCTION("+BH50+BI50"),0)</f>
        <v>0</v>
      </c>
      <c r="BZ52" s="20">
        <f ca="1">IFERROR(__xludf.DUMMYFUNCTION("+BJ50*$D50"),0)</f>
        <v>0</v>
      </c>
      <c r="CB52" s="20"/>
      <c r="CC52" s="20"/>
      <c r="CD52" s="20">
        <f ca="1">IFERROR(__xludf.DUMMYFUNCTION("+BH50+BI50"),0)</f>
        <v>0</v>
      </c>
      <c r="CE52" s="20">
        <f ca="1">IFERROR(__xludf.DUMMYFUNCTION("+BJ50*$D50"),0)</f>
        <v>0</v>
      </c>
      <c r="CG52" s="20"/>
      <c r="CH52" s="20"/>
      <c r="CI52" s="20">
        <f ca="1">IFERROR(__xludf.DUMMYFUNCTION("+BH50+BI50"),0)</f>
        <v>0</v>
      </c>
      <c r="CJ52" s="20">
        <f ca="1">IFERROR(__xludf.DUMMYFUNCTION("+BJ50*$D50"),0)</f>
        <v>0</v>
      </c>
      <c r="CL52" s="20"/>
      <c r="CM52" s="20"/>
      <c r="CN52" s="20">
        <f ca="1">IFERROR(__xludf.DUMMYFUNCTION("+BH50+BI50"),0)</f>
        <v>0</v>
      </c>
      <c r="CO52" s="20">
        <f ca="1">IFERROR(__xludf.DUMMYFUNCTION("+BJ50*$D50"),0)</f>
        <v>0</v>
      </c>
      <c r="CQ52" s="138">
        <f ca="1">AVERAGE(AF52)</f>
        <v>285.60000000000002</v>
      </c>
    </row>
    <row r="53" spans="1:95" ht="15.75" customHeight="1" x14ac:dyDescent="0.2">
      <c r="A53" s="46" t="s">
        <v>79</v>
      </c>
      <c r="B53" s="47" t="s">
        <v>78</v>
      </c>
      <c r="C53" s="47">
        <v>3</v>
      </c>
      <c r="D53" s="16">
        <f ca="1">IFERROR(__xludf.DUMMYFUNCTION("+C51*$B$2"),240)</f>
        <v>240</v>
      </c>
      <c r="E53" s="20">
        <v>34000</v>
      </c>
      <c r="F53" s="20">
        <v>102000</v>
      </c>
      <c r="G53" s="18">
        <f ca="1">IFERROR(__xludf.DUMMYFUNCTION("+E51*D51"),8160000)</f>
        <v>8160000</v>
      </c>
      <c r="H53" s="48"/>
      <c r="J53" s="20"/>
      <c r="K53" s="20"/>
      <c r="L53" s="20">
        <f ca="1">IFERROR(__xludf.DUMMYFUNCTION("+J51+K51"),0)</f>
        <v>0</v>
      </c>
      <c r="M53" s="20">
        <f ca="1">IFERROR(__xludf.DUMMYFUNCTION("+L51*$D51"),0)</f>
        <v>0</v>
      </c>
      <c r="O53" s="20"/>
      <c r="P53" s="20"/>
      <c r="Q53" s="20">
        <f ca="1">IFERROR(__xludf.DUMMYFUNCTION("+O51+P51"),0)</f>
        <v>0</v>
      </c>
      <c r="R53" s="20">
        <f ca="1">IFERROR(__xludf.DUMMYFUNCTION("+Q51*$D51"),0)</f>
        <v>0</v>
      </c>
      <c r="T53" s="20"/>
      <c r="U53" s="20"/>
      <c r="V53" s="20">
        <f ca="1">IFERROR(__xludf.DUMMYFUNCTION("+T51+U51"),0)</f>
        <v>0</v>
      </c>
      <c r="W53" s="20">
        <f ca="1">IFERROR(__xludf.DUMMYFUNCTION("+V51*$D51"),0)</f>
        <v>0</v>
      </c>
      <c r="Y53" s="20"/>
      <c r="Z53" s="20"/>
      <c r="AA53" s="20">
        <f ca="1">IFERROR(__xludf.DUMMYFUNCTION("+Y51+Z51"),0)</f>
        <v>0</v>
      </c>
      <c r="AB53" s="20">
        <f ca="1">IFERROR(__xludf.DUMMYFUNCTION("+AA51*$D51"),0)</f>
        <v>0</v>
      </c>
      <c r="AD53" s="20">
        <v>29500</v>
      </c>
      <c r="AE53" s="20">
        <f ca="1">IFERROR(__xludf.DUMMYFUNCTION("+AD51*19%"),5605)</f>
        <v>5605</v>
      </c>
      <c r="AF53" s="20">
        <f ca="1">IFERROR(__xludf.DUMMYFUNCTION("+AD51+AE51"),35105)</f>
        <v>35105</v>
      </c>
      <c r="AG53" s="20">
        <f ca="1">IFERROR(__xludf.DUMMYFUNCTION("+AF51*$D51"),8425200)</f>
        <v>8425200</v>
      </c>
      <c r="AI53" s="20"/>
      <c r="AJ53" s="20"/>
      <c r="AK53" s="20">
        <f ca="1">IFERROR(__xludf.DUMMYFUNCTION("+AI51+AJ51"),0)</f>
        <v>0</v>
      </c>
      <c r="AL53" s="20">
        <f ca="1">IFERROR(__xludf.DUMMYFUNCTION("+AK51*$D51"),0)</f>
        <v>0</v>
      </c>
      <c r="AM53" s="49"/>
      <c r="AN53" s="20"/>
      <c r="AO53" s="20"/>
      <c r="AP53" s="20">
        <f ca="1">IFERROR(__xludf.DUMMYFUNCTION("+AN51+AO51"),0)</f>
        <v>0</v>
      </c>
      <c r="AQ53" s="20">
        <f ca="1">IFERROR(__xludf.DUMMYFUNCTION("+AP51*$D51"),0)</f>
        <v>0</v>
      </c>
      <c r="AS53" s="20"/>
      <c r="AT53" s="20"/>
      <c r="AU53" s="20">
        <f ca="1">IFERROR(__xludf.DUMMYFUNCTION("+AS51+AT51"),0)</f>
        <v>0</v>
      </c>
      <c r="AV53" s="20">
        <f ca="1">IFERROR(__xludf.DUMMYFUNCTION("+AU51*$D51"),0)</f>
        <v>0</v>
      </c>
      <c r="AX53" s="20"/>
      <c r="AY53" s="20"/>
      <c r="AZ53" s="20">
        <f ca="1">IFERROR(__xludf.DUMMYFUNCTION("+AX51+AY51"),0)</f>
        <v>0</v>
      </c>
      <c r="BA53" s="20">
        <f ca="1">IFERROR(__xludf.DUMMYFUNCTION("+AZ51*$D51"),0)</f>
        <v>0</v>
      </c>
      <c r="BC53" s="20"/>
      <c r="BD53" s="20"/>
      <c r="BE53" s="20">
        <f ca="1">IFERROR(__xludf.DUMMYFUNCTION("+BC51+BD51"),0)</f>
        <v>0</v>
      </c>
      <c r="BF53" s="20">
        <f ca="1">IFERROR(__xludf.DUMMYFUNCTION("+BE51*$D51"),0)</f>
        <v>0</v>
      </c>
      <c r="BH53" s="20"/>
      <c r="BI53" s="20"/>
      <c r="BJ53" s="20">
        <f ca="1">IFERROR(__xludf.DUMMYFUNCTION("+BH51+BI51"),0)</f>
        <v>0</v>
      </c>
      <c r="BK53" s="20">
        <f ca="1">IFERROR(__xludf.DUMMYFUNCTION("+BJ51*$D51"),0)</f>
        <v>0</v>
      </c>
      <c r="BM53" s="20"/>
      <c r="BN53" s="20"/>
      <c r="BO53" s="20">
        <f ca="1">IFERROR(__xludf.DUMMYFUNCTION("+BH51+BI51"),0)</f>
        <v>0</v>
      </c>
      <c r="BP53" s="20">
        <f ca="1">IFERROR(__xludf.DUMMYFUNCTION("+BJ51*$D51"),0)</f>
        <v>0</v>
      </c>
      <c r="BR53" s="20"/>
      <c r="BS53" s="20"/>
      <c r="BT53" s="20">
        <f ca="1">IFERROR(__xludf.DUMMYFUNCTION("+BH51+BI51"),0)</f>
        <v>0</v>
      </c>
      <c r="BU53" s="20">
        <f ca="1">IFERROR(__xludf.DUMMYFUNCTION("+BJ51*$D51"),0)</f>
        <v>0</v>
      </c>
      <c r="BW53" s="20"/>
      <c r="BX53" s="20"/>
      <c r="BY53" s="20">
        <f ca="1">IFERROR(__xludf.DUMMYFUNCTION("+BH51+BI51"),0)</f>
        <v>0</v>
      </c>
      <c r="BZ53" s="20">
        <f ca="1">IFERROR(__xludf.DUMMYFUNCTION("+BJ51*$D51"),0)</f>
        <v>0</v>
      </c>
      <c r="CB53" s="20"/>
      <c r="CC53" s="20"/>
      <c r="CD53" s="20">
        <f ca="1">IFERROR(__xludf.DUMMYFUNCTION("+BH51+BI51"),0)</f>
        <v>0</v>
      </c>
      <c r="CE53" s="20">
        <f ca="1">IFERROR(__xludf.DUMMYFUNCTION("+BJ51*$D51"),0)</f>
        <v>0</v>
      </c>
      <c r="CG53" s="20"/>
      <c r="CH53" s="20"/>
      <c r="CI53" s="20">
        <f ca="1">IFERROR(__xludf.DUMMYFUNCTION("+BH51+BI51"),0)</f>
        <v>0</v>
      </c>
      <c r="CJ53" s="20">
        <f ca="1">IFERROR(__xludf.DUMMYFUNCTION("+BJ51*$D51"),0)</f>
        <v>0</v>
      </c>
      <c r="CL53" s="20"/>
      <c r="CM53" s="20"/>
      <c r="CN53" s="20">
        <f ca="1">IFERROR(__xludf.DUMMYFUNCTION("+BH51+BI51"),0)</f>
        <v>0</v>
      </c>
      <c r="CO53" s="20">
        <f ca="1">IFERROR(__xludf.DUMMYFUNCTION("+BJ51*$D51"),0)</f>
        <v>0</v>
      </c>
      <c r="CQ53" s="138">
        <f ca="1">AVERAGE(AF53)</f>
        <v>35105</v>
      </c>
    </row>
    <row r="54" spans="1:95" ht="15.75" customHeight="1" x14ac:dyDescent="0.2">
      <c r="A54" s="46" t="s">
        <v>80</v>
      </c>
      <c r="B54" s="47" t="s">
        <v>81</v>
      </c>
      <c r="C54" s="47">
        <v>3</v>
      </c>
      <c r="D54" s="16">
        <f ca="1">IFERROR(__xludf.DUMMYFUNCTION("+C52*$B$2"),240)</f>
        <v>240</v>
      </c>
      <c r="E54" s="20">
        <v>5000</v>
      </c>
      <c r="F54" s="20">
        <v>15000</v>
      </c>
      <c r="G54" s="18">
        <f ca="1">IFERROR(__xludf.DUMMYFUNCTION("+E52*D52"),1200000)</f>
        <v>1200000</v>
      </c>
      <c r="H54" s="48"/>
      <c r="J54" s="20"/>
      <c r="K54" s="20"/>
      <c r="L54" s="20">
        <f ca="1">IFERROR(__xludf.DUMMYFUNCTION("+J52+K52"),0)</f>
        <v>0</v>
      </c>
      <c r="M54" s="20">
        <f ca="1">IFERROR(__xludf.DUMMYFUNCTION("+L52*$D52"),0)</f>
        <v>0</v>
      </c>
      <c r="O54" s="20"/>
      <c r="P54" s="20"/>
      <c r="Q54" s="20">
        <f ca="1">IFERROR(__xludf.DUMMYFUNCTION("+O52+P52"),0)</f>
        <v>0</v>
      </c>
      <c r="R54" s="20">
        <f ca="1">IFERROR(__xludf.DUMMYFUNCTION("+Q52*$D52"),0)</f>
        <v>0</v>
      </c>
      <c r="T54" s="20"/>
      <c r="U54" s="20"/>
      <c r="V54" s="20">
        <f ca="1">IFERROR(__xludf.DUMMYFUNCTION("+T52+U52"),0)</f>
        <v>0</v>
      </c>
      <c r="W54" s="20">
        <f ca="1">IFERROR(__xludf.DUMMYFUNCTION("+V52*$D52"),0)</f>
        <v>0</v>
      </c>
      <c r="Y54" s="20"/>
      <c r="Z54" s="20"/>
      <c r="AA54" s="20">
        <f ca="1">IFERROR(__xludf.DUMMYFUNCTION("+Y52+Z52"),0)</f>
        <v>0</v>
      </c>
      <c r="AB54" s="20">
        <f ca="1">IFERROR(__xludf.DUMMYFUNCTION("+AA52*$D52"),0)</f>
        <v>0</v>
      </c>
      <c r="AD54" s="20">
        <v>3800</v>
      </c>
      <c r="AE54" s="20">
        <f ca="1">IFERROR(__xludf.DUMMYFUNCTION("+AD52*19%"),722)</f>
        <v>722</v>
      </c>
      <c r="AF54" s="20">
        <f ca="1">IFERROR(__xludf.DUMMYFUNCTION("+AD52+AE52"),4522)</f>
        <v>4522</v>
      </c>
      <c r="AG54" s="20">
        <f ca="1">IFERROR(__xludf.DUMMYFUNCTION("+AF52*$D52"),1085280)</f>
        <v>1085280</v>
      </c>
      <c r="AI54" s="20"/>
      <c r="AJ54" s="20"/>
      <c r="AK54" s="20">
        <f ca="1">IFERROR(__xludf.DUMMYFUNCTION("+AI52+AJ52"),0)</f>
        <v>0</v>
      </c>
      <c r="AL54" s="20">
        <f ca="1">IFERROR(__xludf.DUMMYFUNCTION("+AK52*$D52"),0)</f>
        <v>0</v>
      </c>
      <c r="AM54" s="49"/>
      <c r="AN54" s="20">
        <v>6746.8950000000004</v>
      </c>
      <c r="AO54" s="20">
        <v>1582.605</v>
      </c>
      <c r="AP54" s="20">
        <f ca="1">IFERROR(__xludf.DUMMYFUNCTION("+AN52+AO52"),8329.5)</f>
        <v>8329.5</v>
      </c>
      <c r="AQ54" s="20">
        <f ca="1">IFERROR(__xludf.DUMMYFUNCTION("+AP52*$D52"),1999080)</f>
        <v>1999080</v>
      </c>
      <c r="AS54" s="20"/>
      <c r="AT54" s="20"/>
      <c r="AU54" s="20">
        <f ca="1">IFERROR(__xludf.DUMMYFUNCTION("+AS52+AT52"),0)</f>
        <v>0</v>
      </c>
      <c r="AV54" s="20">
        <f ca="1">IFERROR(__xludf.DUMMYFUNCTION("+AU52*$D52"),0)</f>
        <v>0</v>
      </c>
      <c r="AX54" s="20"/>
      <c r="AY54" s="20"/>
      <c r="AZ54" s="20">
        <f ca="1">IFERROR(__xludf.DUMMYFUNCTION("+AX52+AY52"),0)</f>
        <v>0</v>
      </c>
      <c r="BA54" s="20">
        <f ca="1">IFERROR(__xludf.DUMMYFUNCTION("+AZ52*$D52"),0)</f>
        <v>0</v>
      </c>
      <c r="BC54" s="20"/>
      <c r="BD54" s="20"/>
      <c r="BE54" s="20">
        <f ca="1">IFERROR(__xludf.DUMMYFUNCTION("+BC52+BD52"),0)</f>
        <v>0</v>
      </c>
      <c r="BF54" s="20">
        <f ca="1">IFERROR(__xludf.DUMMYFUNCTION("+BE52*$D52"),0)</f>
        <v>0</v>
      </c>
      <c r="BH54" s="20"/>
      <c r="BI54" s="20"/>
      <c r="BJ54" s="20">
        <f ca="1">IFERROR(__xludf.DUMMYFUNCTION("+BH52+BI52"),0)</f>
        <v>0</v>
      </c>
      <c r="BK54" s="20">
        <f ca="1">IFERROR(__xludf.DUMMYFUNCTION("+BJ52*$D52"),0)</f>
        <v>0</v>
      </c>
      <c r="BM54" s="20"/>
      <c r="BN54" s="20"/>
      <c r="BO54" s="20">
        <f ca="1">IFERROR(__xludf.DUMMYFUNCTION("+BH52+BI52"),0)</f>
        <v>0</v>
      </c>
      <c r="BP54" s="20">
        <f ca="1">IFERROR(__xludf.DUMMYFUNCTION("+BJ52*$D52"),0)</f>
        <v>0</v>
      </c>
      <c r="BR54" s="20"/>
      <c r="BS54" s="20"/>
      <c r="BT54" s="20">
        <f ca="1">IFERROR(__xludf.DUMMYFUNCTION("+BH52+BI52"),0)</f>
        <v>0</v>
      </c>
      <c r="BU54" s="20">
        <f ca="1">IFERROR(__xludf.DUMMYFUNCTION("+BJ52*$D52"),0)</f>
        <v>0</v>
      </c>
      <c r="BW54" s="20"/>
      <c r="BX54" s="20"/>
      <c r="BY54" s="20">
        <f ca="1">IFERROR(__xludf.DUMMYFUNCTION("+BH52+BI52"),0)</f>
        <v>0</v>
      </c>
      <c r="BZ54" s="20">
        <f ca="1">IFERROR(__xludf.DUMMYFUNCTION("+BJ52*$D52"),0)</f>
        <v>0</v>
      </c>
      <c r="CB54" s="20"/>
      <c r="CC54" s="20"/>
      <c r="CD54" s="20">
        <f ca="1">IFERROR(__xludf.DUMMYFUNCTION("+BH52+BI52"),0)</f>
        <v>0</v>
      </c>
      <c r="CE54" s="20">
        <f ca="1">IFERROR(__xludf.DUMMYFUNCTION("+BJ52*$D52"),0)</f>
        <v>0</v>
      </c>
      <c r="CG54" s="20"/>
      <c r="CH54" s="20"/>
      <c r="CI54" s="20">
        <f ca="1">IFERROR(__xludf.DUMMYFUNCTION("+BH52+BI52"),0)</f>
        <v>0</v>
      </c>
      <c r="CJ54" s="20">
        <f ca="1">IFERROR(__xludf.DUMMYFUNCTION("+BJ52*$D52"),0)</f>
        <v>0</v>
      </c>
      <c r="CL54" s="20"/>
      <c r="CM54" s="20"/>
      <c r="CN54" s="20">
        <f ca="1">IFERROR(__xludf.DUMMYFUNCTION("+BH52+BI52"),0)</f>
        <v>0</v>
      </c>
      <c r="CO54" s="20">
        <f ca="1">IFERROR(__xludf.DUMMYFUNCTION("+BJ52*$D52"),0)</f>
        <v>0</v>
      </c>
      <c r="CQ54" s="138">
        <f ca="1">AVERAGE(AF54,AP54)</f>
        <v>6425.75</v>
      </c>
    </row>
    <row r="55" spans="1:95" ht="15.75" customHeight="1" x14ac:dyDescent="0.2">
      <c r="A55" s="46" t="s">
        <v>82</v>
      </c>
      <c r="B55" s="47" t="s">
        <v>81</v>
      </c>
      <c r="C55" s="47">
        <v>2</v>
      </c>
      <c r="D55" s="16">
        <f ca="1">IFERROR(__xludf.DUMMYFUNCTION("+C53*$B$2"),160)</f>
        <v>160</v>
      </c>
      <c r="E55" s="20">
        <v>5000</v>
      </c>
      <c r="F55" s="20">
        <v>10000</v>
      </c>
      <c r="G55" s="18">
        <f ca="1">IFERROR(__xludf.DUMMYFUNCTION("+E53*D53"),800000)</f>
        <v>800000</v>
      </c>
      <c r="H55" s="48"/>
      <c r="J55" s="20"/>
      <c r="K55" s="20"/>
      <c r="L55" s="20">
        <f ca="1">IFERROR(__xludf.DUMMYFUNCTION("+J53+K53"),0)</f>
        <v>0</v>
      </c>
      <c r="M55" s="20">
        <f ca="1">IFERROR(__xludf.DUMMYFUNCTION("+L53*$D53"),0)</f>
        <v>0</v>
      </c>
      <c r="O55" s="20"/>
      <c r="P55" s="20"/>
      <c r="Q55" s="20">
        <f ca="1">IFERROR(__xludf.DUMMYFUNCTION("+O53+P53"),0)</f>
        <v>0</v>
      </c>
      <c r="R55" s="20">
        <f ca="1">IFERROR(__xludf.DUMMYFUNCTION("+Q53*$D53"),0)</f>
        <v>0</v>
      </c>
      <c r="T55" s="20"/>
      <c r="U55" s="20"/>
      <c r="V55" s="20">
        <f ca="1">IFERROR(__xludf.DUMMYFUNCTION("+T53+U53"),0)</f>
        <v>0</v>
      </c>
      <c r="W55" s="20">
        <f ca="1">IFERROR(__xludf.DUMMYFUNCTION("+V53*$D53"),0)</f>
        <v>0</v>
      </c>
      <c r="Y55" s="20"/>
      <c r="Z55" s="20"/>
      <c r="AA55" s="20">
        <f ca="1">IFERROR(__xludf.DUMMYFUNCTION("+Y53+Z53"),0)</f>
        <v>0</v>
      </c>
      <c r="AB55" s="20">
        <f ca="1">IFERROR(__xludf.DUMMYFUNCTION("+AA53*$D53"),0)</f>
        <v>0</v>
      </c>
      <c r="AD55" s="20">
        <v>3800</v>
      </c>
      <c r="AE55" s="20">
        <f ca="1">IFERROR(__xludf.DUMMYFUNCTION("+AD53*19%"),722)</f>
        <v>722</v>
      </c>
      <c r="AF55" s="20">
        <f ca="1">IFERROR(__xludf.DUMMYFUNCTION("+AD53+AE53"),4522)</f>
        <v>4522</v>
      </c>
      <c r="AG55" s="20">
        <f ca="1">IFERROR(__xludf.DUMMYFUNCTION("+AF53*$D53"),723520)</f>
        <v>723520</v>
      </c>
      <c r="AI55" s="20"/>
      <c r="AJ55" s="20"/>
      <c r="AK55" s="20">
        <f ca="1">IFERROR(__xludf.DUMMYFUNCTION("+AI53+AJ53"),0)</f>
        <v>0</v>
      </c>
      <c r="AL55" s="20">
        <f ca="1">IFERROR(__xludf.DUMMYFUNCTION("+AK53*$D53"),0)</f>
        <v>0</v>
      </c>
      <c r="AM55" s="49"/>
      <c r="AN55" s="20">
        <v>6746.8950000000004</v>
      </c>
      <c r="AO55" s="20">
        <v>1582.605</v>
      </c>
      <c r="AP55" s="20">
        <f ca="1">IFERROR(__xludf.DUMMYFUNCTION("+AN53+AO53"),8329.5)</f>
        <v>8329.5</v>
      </c>
      <c r="AQ55" s="20">
        <f ca="1">IFERROR(__xludf.DUMMYFUNCTION("+AP53*$D53"),1332720)</f>
        <v>1332720</v>
      </c>
      <c r="AS55" s="20"/>
      <c r="AT55" s="20"/>
      <c r="AU55" s="20">
        <f ca="1">IFERROR(__xludf.DUMMYFUNCTION("+AS53+AT53"),0)</f>
        <v>0</v>
      </c>
      <c r="AV55" s="20">
        <f ca="1">IFERROR(__xludf.DUMMYFUNCTION("+AU53*$D53"),0)</f>
        <v>0</v>
      </c>
      <c r="AX55" s="20"/>
      <c r="AY55" s="20"/>
      <c r="AZ55" s="20">
        <f ca="1">IFERROR(__xludf.DUMMYFUNCTION("+AX53+AY53"),0)</f>
        <v>0</v>
      </c>
      <c r="BA55" s="20">
        <f ca="1">IFERROR(__xludf.DUMMYFUNCTION("+AZ53*$D53"),0)</f>
        <v>0</v>
      </c>
      <c r="BC55" s="20"/>
      <c r="BD55" s="20"/>
      <c r="BE55" s="20">
        <f ca="1">IFERROR(__xludf.DUMMYFUNCTION("+BC53+BD53"),0)</f>
        <v>0</v>
      </c>
      <c r="BF55" s="20">
        <f ca="1">IFERROR(__xludf.DUMMYFUNCTION("+BE53*$D53"),0)</f>
        <v>0</v>
      </c>
      <c r="BH55" s="20"/>
      <c r="BI55" s="20"/>
      <c r="BJ55" s="20">
        <f ca="1">IFERROR(__xludf.DUMMYFUNCTION("+BH53+BI53"),0)</f>
        <v>0</v>
      </c>
      <c r="BK55" s="20">
        <f ca="1">IFERROR(__xludf.DUMMYFUNCTION("+BJ53*$D53"),0)</f>
        <v>0</v>
      </c>
      <c r="BM55" s="20"/>
      <c r="BN55" s="20"/>
      <c r="BO55" s="20">
        <f ca="1">IFERROR(__xludf.DUMMYFUNCTION("+BH53+BI53"),0)</f>
        <v>0</v>
      </c>
      <c r="BP55" s="20">
        <f ca="1">IFERROR(__xludf.DUMMYFUNCTION("+BJ53*$D53"),0)</f>
        <v>0</v>
      </c>
      <c r="BR55" s="20"/>
      <c r="BS55" s="20"/>
      <c r="BT55" s="20">
        <f ca="1">IFERROR(__xludf.DUMMYFUNCTION("+BH53+BI53"),0)</f>
        <v>0</v>
      </c>
      <c r="BU55" s="20">
        <f ca="1">IFERROR(__xludf.DUMMYFUNCTION("+BJ53*$D53"),0)</f>
        <v>0</v>
      </c>
      <c r="BW55" s="20"/>
      <c r="BX55" s="20"/>
      <c r="BY55" s="20">
        <f ca="1">IFERROR(__xludf.DUMMYFUNCTION("+BH53+BI53"),0)</f>
        <v>0</v>
      </c>
      <c r="BZ55" s="20">
        <f ca="1">IFERROR(__xludf.DUMMYFUNCTION("+BJ53*$D53"),0)</f>
        <v>0</v>
      </c>
      <c r="CB55" s="20"/>
      <c r="CC55" s="20"/>
      <c r="CD55" s="20">
        <f ca="1">IFERROR(__xludf.DUMMYFUNCTION("+BH53+BI53"),0)</f>
        <v>0</v>
      </c>
      <c r="CE55" s="20">
        <f ca="1">IFERROR(__xludf.DUMMYFUNCTION("+BJ53*$D53"),0)</f>
        <v>0</v>
      </c>
      <c r="CG55" s="20"/>
      <c r="CH55" s="20"/>
      <c r="CI55" s="20">
        <f ca="1">IFERROR(__xludf.DUMMYFUNCTION("+BH53+BI53"),0)</f>
        <v>0</v>
      </c>
      <c r="CJ55" s="20">
        <f ca="1">IFERROR(__xludf.DUMMYFUNCTION("+BJ53*$D53"),0)</f>
        <v>0</v>
      </c>
      <c r="CL55" s="20"/>
      <c r="CM55" s="20"/>
      <c r="CN55" s="20">
        <f ca="1">IFERROR(__xludf.DUMMYFUNCTION("+BH53+BI53"),0)</f>
        <v>0</v>
      </c>
      <c r="CO55" s="20">
        <f ca="1">IFERROR(__xludf.DUMMYFUNCTION("+BJ53*$D53"),0)</f>
        <v>0</v>
      </c>
      <c r="CQ55" s="138">
        <f ca="1">AVERAGE(AF55,AP55)</f>
        <v>6425.75</v>
      </c>
    </row>
    <row r="56" spans="1:95" ht="15.75" customHeight="1" x14ac:dyDescent="0.2">
      <c r="A56" s="46" t="s">
        <v>83</v>
      </c>
      <c r="B56" s="47" t="s">
        <v>84</v>
      </c>
      <c r="C56" s="47">
        <v>0.4</v>
      </c>
      <c r="D56" s="16">
        <f ca="1">IFERROR(__xludf.DUMMYFUNCTION("+C54*$B$2"),32)</f>
        <v>32</v>
      </c>
      <c r="E56" s="20">
        <v>150000</v>
      </c>
      <c r="F56" s="20">
        <v>60000</v>
      </c>
      <c r="G56" s="18">
        <f ca="1">IFERROR(__xludf.DUMMYFUNCTION("+E54*D54"),4800000)</f>
        <v>4800000</v>
      </c>
      <c r="H56" s="48"/>
      <c r="J56" s="20"/>
      <c r="K56" s="20"/>
      <c r="L56" s="20">
        <f ca="1">IFERROR(__xludf.DUMMYFUNCTION("+J54+K54"),0)</f>
        <v>0</v>
      </c>
      <c r="M56" s="20">
        <f ca="1">IFERROR(__xludf.DUMMYFUNCTION("+L54*$D54"),0)</f>
        <v>0</v>
      </c>
      <c r="O56" s="20"/>
      <c r="P56" s="20"/>
      <c r="Q56" s="20">
        <f ca="1">IFERROR(__xludf.DUMMYFUNCTION("+O54+P54"),0)</f>
        <v>0</v>
      </c>
      <c r="R56" s="20">
        <f ca="1">IFERROR(__xludf.DUMMYFUNCTION("+Q54*$D54"),0)</f>
        <v>0</v>
      </c>
      <c r="T56" s="20"/>
      <c r="U56" s="20"/>
      <c r="V56" s="20">
        <f ca="1">IFERROR(__xludf.DUMMYFUNCTION("+T54+U54"),0)</f>
        <v>0</v>
      </c>
      <c r="W56" s="20">
        <f ca="1">IFERROR(__xludf.DUMMYFUNCTION("+V54*$D54"),0)</f>
        <v>0</v>
      </c>
      <c r="Y56" s="20"/>
      <c r="Z56" s="20"/>
      <c r="AA56" s="20">
        <f ca="1">IFERROR(__xludf.DUMMYFUNCTION("+Y54+Z54"),0)</f>
        <v>0</v>
      </c>
      <c r="AB56" s="20">
        <f ca="1">IFERROR(__xludf.DUMMYFUNCTION("+AA54*$D54"),0)</f>
        <v>0</v>
      </c>
      <c r="AD56" s="20">
        <v>199800</v>
      </c>
      <c r="AE56" s="20">
        <f ca="1">IFERROR(__xludf.DUMMYFUNCTION("+AD54*19%"),37962)</f>
        <v>37962</v>
      </c>
      <c r="AF56" s="20">
        <f ca="1">IFERROR(__xludf.DUMMYFUNCTION("+AD54+AE54"),237762)</f>
        <v>237762</v>
      </c>
      <c r="AG56" s="20">
        <f ca="1">IFERROR(__xludf.DUMMYFUNCTION("+AF54*$D54"),7608384)</f>
        <v>7608384</v>
      </c>
      <c r="AI56" s="20"/>
      <c r="AJ56" s="20"/>
      <c r="AK56" s="20">
        <f ca="1">IFERROR(__xludf.DUMMYFUNCTION("+AI54+AJ54"),0)</f>
        <v>0</v>
      </c>
      <c r="AL56" s="20">
        <f ca="1">IFERROR(__xludf.DUMMYFUNCTION("+AK54*$D54"),0)</f>
        <v>0</v>
      </c>
      <c r="AM56" s="49"/>
      <c r="AN56" s="20"/>
      <c r="AO56" s="20"/>
      <c r="AP56" s="20">
        <f ca="1">IFERROR(__xludf.DUMMYFUNCTION("+AN54+AO54"),0)</f>
        <v>0</v>
      </c>
      <c r="AQ56" s="20">
        <f ca="1">IFERROR(__xludf.DUMMYFUNCTION("+AP54*$D54"),0)</f>
        <v>0</v>
      </c>
      <c r="AS56" s="20"/>
      <c r="AT56" s="20"/>
      <c r="AU56" s="20">
        <f ca="1">IFERROR(__xludf.DUMMYFUNCTION("+AS54+AT54"),0)</f>
        <v>0</v>
      </c>
      <c r="AV56" s="20">
        <f ca="1">IFERROR(__xludf.DUMMYFUNCTION("+AU54*$D54"),0)</f>
        <v>0</v>
      </c>
      <c r="AX56" s="20"/>
      <c r="AY56" s="20"/>
      <c r="AZ56" s="20">
        <f ca="1">IFERROR(__xludf.DUMMYFUNCTION("+AX54+AY54"),0)</f>
        <v>0</v>
      </c>
      <c r="BA56" s="20">
        <f ca="1">IFERROR(__xludf.DUMMYFUNCTION("+AZ54*$D54"),0)</f>
        <v>0</v>
      </c>
      <c r="BC56" s="20"/>
      <c r="BD56" s="20"/>
      <c r="BE56" s="20">
        <f ca="1">IFERROR(__xludf.DUMMYFUNCTION("+BC54+BD54"),0)</f>
        <v>0</v>
      </c>
      <c r="BF56" s="20">
        <f ca="1">IFERROR(__xludf.DUMMYFUNCTION("+BE54*$D54"),0)</f>
        <v>0</v>
      </c>
      <c r="BH56" s="20"/>
      <c r="BI56" s="20"/>
      <c r="BJ56" s="20">
        <f ca="1">IFERROR(__xludf.DUMMYFUNCTION("+BH54+BI54"),0)</f>
        <v>0</v>
      </c>
      <c r="BK56" s="20">
        <f ca="1">IFERROR(__xludf.DUMMYFUNCTION("+BJ54*$D54"),0)</f>
        <v>0</v>
      </c>
      <c r="BM56" s="20"/>
      <c r="BN56" s="20"/>
      <c r="BO56" s="20">
        <f ca="1">IFERROR(__xludf.DUMMYFUNCTION("+BH54+BI54"),0)</f>
        <v>0</v>
      </c>
      <c r="BP56" s="20">
        <f ca="1">IFERROR(__xludf.DUMMYFUNCTION("+BJ54*$D54"),0)</f>
        <v>0</v>
      </c>
      <c r="BR56" s="20"/>
      <c r="BS56" s="20"/>
      <c r="BT56" s="20">
        <f ca="1">IFERROR(__xludf.DUMMYFUNCTION("+BH54+BI54"),0)</f>
        <v>0</v>
      </c>
      <c r="BU56" s="20">
        <f ca="1">IFERROR(__xludf.DUMMYFUNCTION("+BJ54*$D54"),0)</f>
        <v>0</v>
      </c>
      <c r="BW56" s="20"/>
      <c r="BX56" s="20"/>
      <c r="BY56" s="20">
        <f ca="1">IFERROR(__xludf.DUMMYFUNCTION("+BH54+BI54"),0)</f>
        <v>0</v>
      </c>
      <c r="BZ56" s="20">
        <f ca="1">IFERROR(__xludf.DUMMYFUNCTION("+BJ54*$D54"),0)</f>
        <v>0</v>
      </c>
      <c r="CB56" s="20"/>
      <c r="CC56" s="20"/>
      <c r="CD56" s="20">
        <f ca="1">IFERROR(__xludf.DUMMYFUNCTION("+BH54+BI54"),0)</f>
        <v>0</v>
      </c>
      <c r="CE56" s="20">
        <f ca="1">IFERROR(__xludf.DUMMYFUNCTION("+BJ54*$D54"),0)</f>
        <v>0</v>
      </c>
      <c r="CG56" s="20"/>
      <c r="CH56" s="20"/>
      <c r="CI56" s="20">
        <f ca="1">IFERROR(__xludf.DUMMYFUNCTION("+BH54+BI54"),0)</f>
        <v>0</v>
      </c>
      <c r="CJ56" s="20">
        <f ca="1">IFERROR(__xludf.DUMMYFUNCTION("+BJ54*$D54"),0)</f>
        <v>0</v>
      </c>
      <c r="CL56" s="20"/>
      <c r="CM56" s="20"/>
      <c r="CN56" s="20">
        <f ca="1">IFERROR(__xludf.DUMMYFUNCTION("+BH54+BI54"),0)</f>
        <v>0</v>
      </c>
      <c r="CO56" s="20">
        <f ca="1">IFERROR(__xludf.DUMMYFUNCTION("+BJ54*$D54"),0)</f>
        <v>0</v>
      </c>
      <c r="CQ56" s="138">
        <f ca="1">AVERAGE(AF56)</f>
        <v>237762</v>
      </c>
    </row>
    <row r="57" spans="1:95" ht="15.75" customHeight="1" x14ac:dyDescent="0.2">
      <c r="A57" s="46" t="s">
        <v>85</v>
      </c>
      <c r="B57" s="47" t="s">
        <v>78</v>
      </c>
      <c r="C57" s="47">
        <v>8</v>
      </c>
      <c r="D57" s="16">
        <f ca="1">IFERROR(__xludf.DUMMYFUNCTION("+C55*$B$2"),640)</f>
        <v>640</v>
      </c>
      <c r="E57" s="20">
        <v>57000</v>
      </c>
      <c r="F57" s="20">
        <v>456000</v>
      </c>
      <c r="G57" s="18">
        <f ca="1">IFERROR(__xludf.DUMMYFUNCTION("+E55*D55"),36480000)</f>
        <v>36480000</v>
      </c>
      <c r="H57" s="20"/>
      <c r="J57" s="20"/>
      <c r="K57" s="20"/>
      <c r="L57" s="20">
        <f ca="1">IFERROR(__xludf.DUMMYFUNCTION("+J55+K55"),0)</f>
        <v>0</v>
      </c>
      <c r="M57" s="20">
        <f ca="1">IFERROR(__xludf.DUMMYFUNCTION("+L55*$D55"),0)</f>
        <v>0</v>
      </c>
      <c r="O57" s="20"/>
      <c r="P57" s="20"/>
      <c r="Q57" s="20">
        <f ca="1">IFERROR(__xludf.DUMMYFUNCTION("+O55+P55"),0)</f>
        <v>0</v>
      </c>
      <c r="R57" s="20">
        <f ca="1">IFERROR(__xludf.DUMMYFUNCTION("+Q55*$D55"),0)</f>
        <v>0</v>
      </c>
      <c r="T57" s="20"/>
      <c r="U57" s="20"/>
      <c r="V57" s="20">
        <f ca="1">IFERROR(__xludf.DUMMYFUNCTION("+T55+U55"),0)</f>
        <v>0</v>
      </c>
      <c r="W57" s="20">
        <f ca="1">IFERROR(__xludf.DUMMYFUNCTION("+V55*$D55"),0)</f>
        <v>0</v>
      </c>
      <c r="Y57" s="20"/>
      <c r="Z57" s="20"/>
      <c r="AA57" s="20">
        <f ca="1">IFERROR(__xludf.DUMMYFUNCTION("+Y55+Z55"),0)</f>
        <v>0</v>
      </c>
      <c r="AB57" s="20">
        <f ca="1">IFERROR(__xludf.DUMMYFUNCTION("+AA55*$D55"),0)</f>
        <v>0</v>
      </c>
      <c r="AD57" s="20">
        <v>44980</v>
      </c>
      <c r="AE57" s="20">
        <f ca="1">IFERROR(__xludf.DUMMYFUNCTION("+AD55*19%"),8546.2)</f>
        <v>8546.2000000000007</v>
      </c>
      <c r="AF57" s="20">
        <f ca="1">IFERROR(__xludf.DUMMYFUNCTION("+AD55+AE55"),53526.2)</f>
        <v>53526.2</v>
      </c>
      <c r="AG57" s="20">
        <f ca="1">IFERROR(__xludf.DUMMYFUNCTION("+AF55*$D55"),34256768)</f>
        <v>34256768</v>
      </c>
      <c r="AI57" s="20"/>
      <c r="AJ57" s="20"/>
      <c r="AK57" s="20">
        <f ca="1">IFERROR(__xludf.DUMMYFUNCTION("+AI55+AJ55"),0)</f>
        <v>0</v>
      </c>
      <c r="AL57" s="20">
        <f ca="1">IFERROR(__xludf.DUMMYFUNCTION("+AK55*$D55"),0)</f>
        <v>0</v>
      </c>
      <c r="AM57" s="49"/>
      <c r="AN57" s="20">
        <v>36936</v>
      </c>
      <c r="AO57" s="20">
        <v>8664</v>
      </c>
      <c r="AP57" s="20">
        <f ca="1">IFERROR(__xludf.DUMMYFUNCTION("+AN55+AO55"),45600)</f>
        <v>45600</v>
      </c>
      <c r="AQ57" s="20">
        <f ca="1">IFERROR(__xludf.DUMMYFUNCTION("+AP55*$D55"),29184000)</f>
        <v>29184000</v>
      </c>
      <c r="AS57" s="20"/>
      <c r="AT57" s="20"/>
      <c r="AU57" s="20">
        <f ca="1">IFERROR(__xludf.DUMMYFUNCTION("+AS55+AT55"),0)</f>
        <v>0</v>
      </c>
      <c r="AV57" s="20">
        <f ca="1">IFERROR(__xludf.DUMMYFUNCTION("+AU55*$D55"),0)</f>
        <v>0</v>
      </c>
      <c r="AX57" s="20"/>
      <c r="AY57" s="20"/>
      <c r="AZ57" s="20">
        <f ca="1">IFERROR(__xludf.DUMMYFUNCTION("+AX55+AY55"),0)</f>
        <v>0</v>
      </c>
      <c r="BA57" s="20">
        <f ca="1">IFERROR(__xludf.DUMMYFUNCTION("+AZ55*$D55"),0)</f>
        <v>0</v>
      </c>
      <c r="BC57" s="20"/>
      <c r="BD57" s="20"/>
      <c r="BE57" s="20">
        <f ca="1">IFERROR(__xludf.DUMMYFUNCTION("+BC55+BD55"),0)</f>
        <v>0</v>
      </c>
      <c r="BF57" s="20">
        <f ca="1">IFERROR(__xludf.DUMMYFUNCTION("+BE55*$D55"),0)</f>
        <v>0</v>
      </c>
      <c r="BH57" s="20"/>
      <c r="BI57" s="20"/>
      <c r="BJ57" s="20">
        <f ca="1">IFERROR(__xludf.DUMMYFUNCTION("+BH55+BI55"),0)</f>
        <v>0</v>
      </c>
      <c r="BK57" s="20">
        <f ca="1">IFERROR(__xludf.DUMMYFUNCTION("+BJ55*$D55"),0)</f>
        <v>0</v>
      </c>
      <c r="BM57" s="20"/>
      <c r="BN57" s="20"/>
      <c r="BO57" s="20">
        <f ca="1">IFERROR(__xludf.DUMMYFUNCTION("+BH55+BI55"),0)</f>
        <v>0</v>
      </c>
      <c r="BP57" s="20">
        <f ca="1">IFERROR(__xludf.DUMMYFUNCTION("+BJ55*$D55"),0)</f>
        <v>0</v>
      </c>
      <c r="BR57" s="20"/>
      <c r="BS57" s="20"/>
      <c r="BT57" s="20">
        <f ca="1">IFERROR(__xludf.DUMMYFUNCTION("+BH55+BI55"),0)</f>
        <v>0</v>
      </c>
      <c r="BU57" s="20">
        <f ca="1">IFERROR(__xludf.DUMMYFUNCTION("+BJ55*$D55"),0)</f>
        <v>0</v>
      </c>
      <c r="BW57" s="20"/>
      <c r="BX57" s="20"/>
      <c r="BY57" s="20">
        <f ca="1">IFERROR(__xludf.DUMMYFUNCTION("+BH55+BI55"),0)</f>
        <v>0</v>
      </c>
      <c r="BZ57" s="20">
        <f ca="1">IFERROR(__xludf.DUMMYFUNCTION("+BJ55*$D55"),0)</f>
        <v>0</v>
      </c>
      <c r="CB57" s="20"/>
      <c r="CC57" s="20"/>
      <c r="CD57" s="20">
        <f ca="1">IFERROR(__xludf.DUMMYFUNCTION("+BH55+BI55"),0)</f>
        <v>0</v>
      </c>
      <c r="CE57" s="20">
        <f ca="1">IFERROR(__xludf.DUMMYFUNCTION("+BJ55*$D55"),0)</f>
        <v>0</v>
      </c>
      <c r="CG57" s="20"/>
      <c r="CH57" s="20"/>
      <c r="CI57" s="20">
        <f ca="1">IFERROR(__xludf.DUMMYFUNCTION("+BH55+BI55"),0)</f>
        <v>0</v>
      </c>
      <c r="CJ57" s="20">
        <f ca="1">IFERROR(__xludf.DUMMYFUNCTION("+BJ55*$D55"),0)</f>
        <v>0</v>
      </c>
      <c r="CL57" s="20"/>
      <c r="CM57" s="20"/>
      <c r="CN57" s="20">
        <f ca="1">IFERROR(__xludf.DUMMYFUNCTION("+BH55+BI55"),0)</f>
        <v>0</v>
      </c>
      <c r="CO57" s="20">
        <f ca="1">IFERROR(__xludf.DUMMYFUNCTION("+BJ55*$D55"),0)</f>
        <v>0</v>
      </c>
      <c r="CQ57" s="138">
        <f ca="1">AVERAGE(AF57,AP57)</f>
        <v>49563.1</v>
      </c>
    </row>
    <row r="58" spans="1:95" ht="15.75" customHeight="1" x14ac:dyDescent="0.2">
      <c r="A58" s="46" t="s">
        <v>86</v>
      </c>
      <c r="B58" s="47" t="s">
        <v>78</v>
      </c>
      <c r="C58" s="47">
        <v>4</v>
      </c>
      <c r="D58" s="16">
        <f ca="1">IFERROR(__xludf.DUMMYFUNCTION("+C56*$B$2"),320)</f>
        <v>320</v>
      </c>
      <c r="E58" s="20">
        <v>60000</v>
      </c>
      <c r="F58" s="20">
        <v>240000</v>
      </c>
      <c r="G58" s="18">
        <f ca="1">IFERROR(__xludf.DUMMYFUNCTION("+E56*D56"),19200000)</f>
        <v>19200000</v>
      </c>
      <c r="H58" s="48"/>
      <c r="J58" s="20"/>
      <c r="K58" s="20"/>
      <c r="L58" s="20">
        <f ca="1">IFERROR(__xludf.DUMMYFUNCTION("+J56+K56"),0)</f>
        <v>0</v>
      </c>
      <c r="M58" s="20">
        <f ca="1">IFERROR(__xludf.DUMMYFUNCTION("+L56*$D56"),0)</f>
        <v>0</v>
      </c>
      <c r="O58" s="20"/>
      <c r="P58" s="20"/>
      <c r="Q58" s="20">
        <f ca="1">IFERROR(__xludf.DUMMYFUNCTION("+O56+P56"),0)</f>
        <v>0</v>
      </c>
      <c r="R58" s="20">
        <f ca="1">IFERROR(__xludf.DUMMYFUNCTION("+Q56*$D56"),0)</f>
        <v>0</v>
      </c>
      <c r="T58" s="20"/>
      <c r="U58" s="20"/>
      <c r="V58" s="20">
        <f ca="1">IFERROR(__xludf.DUMMYFUNCTION("+T56+U56"),0)</f>
        <v>0</v>
      </c>
      <c r="W58" s="20">
        <f ca="1">IFERROR(__xludf.DUMMYFUNCTION("+V56*$D56"),0)</f>
        <v>0</v>
      </c>
      <c r="Y58" s="20"/>
      <c r="Z58" s="20"/>
      <c r="AA58" s="20">
        <f ca="1">IFERROR(__xludf.DUMMYFUNCTION("+Y56+Z56"),0)</f>
        <v>0</v>
      </c>
      <c r="AB58" s="20">
        <f ca="1">IFERROR(__xludf.DUMMYFUNCTION("+AA56*$D56"),0)</f>
        <v>0</v>
      </c>
      <c r="AD58" s="20">
        <v>69900</v>
      </c>
      <c r="AE58" s="20">
        <f ca="1">IFERROR(__xludf.DUMMYFUNCTION("+AD56*19%"),13281)</f>
        <v>13281</v>
      </c>
      <c r="AF58" s="20">
        <f ca="1">IFERROR(__xludf.DUMMYFUNCTION("+AD56+AE56"),83181)</f>
        <v>83181</v>
      </c>
      <c r="AG58" s="20">
        <f ca="1">IFERROR(__xludf.DUMMYFUNCTION("+AF56*$D56"),26617920)</f>
        <v>26617920</v>
      </c>
      <c r="AI58" s="20"/>
      <c r="AJ58" s="20"/>
      <c r="AK58" s="20">
        <f ca="1">IFERROR(__xludf.DUMMYFUNCTION("+AI56+AJ56"),0)</f>
        <v>0</v>
      </c>
      <c r="AL58" s="20">
        <f ca="1">IFERROR(__xludf.DUMMYFUNCTION("+AK56*$D56"),0)</f>
        <v>0</v>
      </c>
      <c r="AM58" s="49"/>
      <c r="AN58" s="20">
        <v>57672</v>
      </c>
      <c r="AO58" s="20">
        <v>13528</v>
      </c>
      <c r="AP58" s="20">
        <f ca="1">IFERROR(__xludf.DUMMYFUNCTION("+AN56+AO56"),71200)</f>
        <v>71200</v>
      </c>
      <c r="AQ58" s="20">
        <f ca="1">IFERROR(__xludf.DUMMYFUNCTION("+AP56*$D56"),22784000)</f>
        <v>22784000</v>
      </c>
      <c r="AS58" s="20"/>
      <c r="AT58" s="20"/>
      <c r="AU58" s="20">
        <f ca="1">IFERROR(__xludf.DUMMYFUNCTION("+AS56+AT56"),0)</f>
        <v>0</v>
      </c>
      <c r="AV58" s="20">
        <f ca="1">IFERROR(__xludf.DUMMYFUNCTION("+AU56*$D56"),0)</f>
        <v>0</v>
      </c>
      <c r="AX58" s="20"/>
      <c r="AY58" s="20"/>
      <c r="AZ58" s="20">
        <f ca="1">IFERROR(__xludf.DUMMYFUNCTION("+AX56+AY56"),0)</f>
        <v>0</v>
      </c>
      <c r="BA58" s="20">
        <f ca="1">IFERROR(__xludf.DUMMYFUNCTION("+AZ56*$D56"),0)</f>
        <v>0</v>
      </c>
      <c r="BC58" s="20"/>
      <c r="BD58" s="20"/>
      <c r="BE58" s="20">
        <f ca="1">IFERROR(__xludf.DUMMYFUNCTION("+BC56+BD56"),0)</f>
        <v>0</v>
      </c>
      <c r="BF58" s="20">
        <f ca="1">IFERROR(__xludf.DUMMYFUNCTION("+BE56*$D56"),0)</f>
        <v>0</v>
      </c>
      <c r="BH58" s="20"/>
      <c r="BI58" s="20"/>
      <c r="BJ58" s="20">
        <f ca="1">IFERROR(__xludf.DUMMYFUNCTION("+BH56+BI56"),0)</f>
        <v>0</v>
      </c>
      <c r="BK58" s="20">
        <f ca="1">IFERROR(__xludf.DUMMYFUNCTION("+BJ56*$D56"),0)</f>
        <v>0</v>
      </c>
      <c r="BM58" s="20"/>
      <c r="BN58" s="20"/>
      <c r="BO58" s="20">
        <f ca="1">IFERROR(__xludf.DUMMYFUNCTION("+BH56+BI56"),0)</f>
        <v>0</v>
      </c>
      <c r="BP58" s="20">
        <f ca="1">IFERROR(__xludf.DUMMYFUNCTION("+BJ56*$D56"),0)</f>
        <v>0</v>
      </c>
      <c r="BR58" s="20"/>
      <c r="BS58" s="20"/>
      <c r="BT58" s="20">
        <f ca="1">IFERROR(__xludf.DUMMYFUNCTION("+BH56+BI56"),0)</f>
        <v>0</v>
      </c>
      <c r="BU58" s="20">
        <f ca="1">IFERROR(__xludf.DUMMYFUNCTION("+BJ56*$D56"),0)</f>
        <v>0</v>
      </c>
      <c r="BW58" s="20"/>
      <c r="BX58" s="20"/>
      <c r="BY58" s="20">
        <f ca="1">IFERROR(__xludf.DUMMYFUNCTION("+BH56+BI56"),0)</f>
        <v>0</v>
      </c>
      <c r="BZ58" s="20">
        <f ca="1">IFERROR(__xludf.DUMMYFUNCTION("+BJ56*$D56"),0)</f>
        <v>0</v>
      </c>
      <c r="CB58" s="20"/>
      <c r="CC58" s="20"/>
      <c r="CD58" s="20">
        <f ca="1">IFERROR(__xludf.DUMMYFUNCTION("+BH56+BI56"),0)</f>
        <v>0</v>
      </c>
      <c r="CE58" s="20">
        <f ca="1">IFERROR(__xludf.DUMMYFUNCTION("+BJ56*$D56"),0)</f>
        <v>0</v>
      </c>
      <c r="CG58" s="20"/>
      <c r="CH58" s="20"/>
      <c r="CI58" s="20">
        <f ca="1">IFERROR(__xludf.DUMMYFUNCTION("+BH56+BI56"),0)</f>
        <v>0</v>
      </c>
      <c r="CJ58" s="20">
        <f ca="1">IFERROR(__xludf.DUMMYFUNCTION("+BJ56*$D56"),0)</f>
        <v>0</v>
      </c>
      <c r="CL58" s="20"/>
      <c r="CM58" s="20"/>
      <c r="CN58" s="20">
        <f ca="1">IFERROR(__xludf.DUMMYFUNCTION("+BH56+BI56"),0)</f>
        <v>0</v>
      </c>
      <c r="CO58" s="20">
        <f ca="1">IFERROR(__xludf.DUMMYFUNCTION("+BJ56*$D56"),0)</f>
        <v>0</v>
      </c>
      <c r="CQ58" s="138">
        <f t="shared" ref="CQ58:CQ63" ca="1" si="52">AVERAGE(AF58,AP58)</f>
        <v>77190.5</v>
      </c>
    </row>
    <row r="59" spans="1:95" ht="15.75" customHeight="1" x14ac:dyDescent="0.2">
      <c r="A59" s="46" t="s">
        <v>87</v>
      </c>
      <c r="B59" s="47" t="s">
        <v>78</v>
      </c>
      <c r="C59" s="47">
        <v>1</v>
      </c>
      <c r="D59" s="16">
        <f ca="1">IFERROR(__xludf.DUMMYFUNCTION("+C57*$B$2"),80)</f>
        <v>80</v>
      </c>
      <c r="E59" s="20">
        <v>59666.6</v>
      </c>
      <c r="F59" s="20">
        <v>59666.6</v>
      </c>
      <c r="G59" s="18">
        <f ca="1">IFERROR(__xludf.DUMMYFUNCTION("+E57*D57"),4773328)</f>
        <v>4773328</v>
      </c>
      <c r="H59" s="48"/>
      <c r="J59" s="20"/>
      <c r="K59" s="20"/>
      <c r="L59" s="20">
        <f ca="1">IFERROR(__xludf.DUMMYFUNCTION("+J57+K57"),0)</f>
        <v>0</v>
      </c>
      <c r="M59" s="20">
        <f ca="1">IFERROR(__xludf.DUMMYFUNCTION("+L57*$D57"),0)</f>
        <v>0</v>
      </c>
      <c r="O59" s="20"/>
      <c r="P59" s="20"/>
      <c r="Q59" s="20">
        <f ca="1">IFERROR(__xludf.DUMMYFUNCTION("+O57+P57"),0)</f>
        <v>0</v>
      </c>
      <c r="R59" s="20">
        <f ca="1">IFERROR(__xludf.DUMMYFUNCTION("+Q57*$D57"),0)</f>
        <v>0</v>
      </c>
      <c r="T59" s="20"/>
      <c r="U59" s="20"/>
      <c r="V59" s="20">
        <f ca="1">IFERROR(__xludf.DUMMYFUNCTION("+T57+U57"),0)</f>
        <v>0</v>
      </c>
      <c r="W59" s="20">
        <f ca="1">IFERROR(__xludf.DUMMYFUNCTION("+V57*$D57"),0)</f>
        <v>0</v>
      </c>
      <c r="Y59" s="20"/>
      <c r="Z59" s="20"/>
      <c r="AA59" s="20">
        <f ca="1">IFERROR(__xludf.DUMMYFUNCTION("+Y57+Z57"),0)</f>
        <v>0</v>
      </c>
      <c r="AB59" s="20">
        <f ca="1">IFERROR(__xludf.DUMMYFUNCTION("+AA57*$D57"),0)</f>
        <v>0</v>
      </c>
      <c r="AD59" s="20">
        <v>59980</v>
      </c>
      <c r="AE59" s="20">
        <f ca="1">IFERROR(__xludf.DUMMYFUNCTION("+AD57*19%"),11396.2)</f>
        <v>11396.2</v>
      </c>
      <c r="AF59" s="20">
        <f ca="1">IFERROR(__xludf.DUMMYFUNCTION("+AD57+AE57"),71376.2)</f>
        <v>71376.2</v>
      </c>
      <c r="AG59" s="20">
        <f ca="1">IFERROR(__xludf.DUMMYFUNCTION("+AF57*$D57"),5710096)</f>
        <v>5710096</v>
      </c>
      <c r="AI59" s="20"/>
      <c r="AJ59" s="20"/>
      <c r="AK59" s="20">
        <f ca="1">IFERROR(__xludf.DUMMYFUNCTION("+AI57+AJ57"),0)</f>
        <v>0</v>
      </c>
      <c r="AL59" s="20">
        <f ca="1">IFERROR(__xludf.DUMMYFUNCTION("+AK57*$D57"),0)</f>
        <v>0</v>
      </c>
      <c r="AM59" s="49"/>
      <c r="AN59" s="20"/>
      <c r="AO59" s="20"/>
      <c r="AP59" s="20">
        <f ca="1">IFERROR(__xludf.DUMMYFUNCTION("+AN57+AO57"),0)</f>
        <v>0</v>
      </c>
      <c r="AQ59" s="20">
        <f ca="1">IFERROR(__xludf.DUMMYFUNCTION("+AP57*$D57"),0)</f>
        <v>0</v>
      </c>
      <c r="AS59" s="20"/>
      <c r="AT59" s="20"/>
      <c r="AU59" s="20">
        <f ca="1">IFERROR(__xludf.DUMMYFUNCTION("+AS57+AT57"),0)</f>
        <v>0</v>
      </c>
      <c r="AV59" s="20">
        <f ca="1">IFERROR(__xludf.DUMMYFUNCTION("+AU57*$D57"),0)</f>
        <v>0</v>
      </c>
      <c r="AX59" s="20"/>
      <c r="AY59" s="20"/>
      <c r="AZ59" s="20">
        <f ca="1">IFERROR(__xludf.DUMMYFUNCTION("+AX57+AY57"),0)</f>
        <v>0</v>
      </c>
      <c r="BA59" s="20">
        <f ca="1">IFERROR(__xludf.DUMMYFUNCTION("+AZ57*$D57"),0)</f>
        <v>0</v>
      </c>
      <c r="BC59" s="20"/>
      <c r="BD59" s="20"/>
      <c r="BE59" s="20">
        <f ca="1">IFERROR(__xludf.DUMMYFUNCTION("+BC57+BD57"),0)</f>
        <v>0</v>
      </c>
      <c r="BF59" s="20">
        <f ca="1">IFERROR(__xludf.DUMMYFUNCTION("+BE57*$D57"),0)</f>
        <v>0</v>
      </c>
      <c r="BH59" s="20"/>
      <c r="BI59" s="20"/>
      <c r="BJ59" s="20">
        <f ca="1">IFERROR(__xludf.DUMMYFUNCTION("+BH57+BI57"),0)</f>
        <v>0</v>
      </c>
      <c r="BK59" s="20">
        <f ca="1">IFERROR(__xludf.DUMMYFUNCTION("+BJ57*$D57"),0)</f>
        <v>0</v>
      </c>
      <c r="BM59" s="20"/>
      <c r="BN59" s="20"/>
      <c r="BO59" s="20">
        <f ca="1">IFERROR(__xludf.DUMMYFUNCTION("+BH57+BI57"),0)</f>
        <v>0</v>
      </c>
      <c r="BP59" s="20">
        <f ca="1">IFERROR(__xludf.DUMMYFUNCTION("+BJ57*$D57"),0)</f>
        <v>0</v>
      </c>
      <c r="BR59" s="20"/>
      <c r="BS59" s="20"/>
      <c r="BT59" s="20">
        <f ca="1">IFERROR(__xludf.DUMMYFUNCTION("+BH57+BI57"),0)</f>
        <v>0</v>
      </c>
      <c r="BU59" s="20">
        <f ca="1">IFERROR(__xludf.DUMMYFUNCTION("+BJ57*$D57"),0)</f>
        <v>0</v>
      </c>
      <c r="BW59" s="20"/>
      <c r="BX59" s="20"/>
      <c r="BY59" s="20">
        <f ca="1">IFERROR(__xludf.DUMMYFUNCTION("+BH57+BI57"),0)</f>
        <v>0</v>
      </c>
      <c r="BZ59" s="20">
        <f ca="1">IFERROR(__xludf.DUMMYFUNCTION("+BJ57*$D57"),0)</f>
        <v>0</v>
      </c>
      <c r="CB59" s="20"/>
      <c r="CC59" s="20"/>
      <c r="CD59" s="20">
        <f ca="1">IFERROR(__xludf.DUMMYFUNCTION("+BH57+BI57"),0)</f>
        <v>0</v>
      </c>
      <c r="CE59" s="20">
        <f ca="1">IFERROR(__xludf.DUMMYFUNCTION("+BJ57*$D57"),0)</f>
        <v>0</v>
      </c>
      <c r="CG59" s="20"/>
      <c r="CH59" s="20"/>
      <c r="CI59" s="20">
        <f ca="1">IFERROR(__xludf.DUMMYFUNCTION("+BH57+BI57"),0)</f>
        <v>0</v>
      </c>
      <c r="CJ59" s="20">
        <f ca="1">IFERROR(__xludf.DUMMYFUNCTION("+BJ57*$D57"),0)</f>
        <v>0</v>
      </c>
      <c r="CL59" s="20"/>
      <c r="CM59" s="20"/>
      <c r="CN59" s="20">
        <f ca="1">IFERROR(__xludf.DUMMYFUNCTION("+BH57+BI57"),0)</f>
        <v>0</v>
      </c>
      <c r="CO59" s="20">
        <f ca="1">IFERROR(__xludf.DUMMYFUNCTION("+BJ57*$D57"),0)</f>
        <v>0</v>
      </c>
      <c r="CQ59" s="138">
        <f ca="1">AVERAGE(AF59)</f>
        <v>71376.2</v>
      </c>
    </row>
    <row r="60" spans="1:95" ht="21.5" customHeight="1" x14ac:dyDescent="0.2">
      <c r="A60" s="46" t="s">
        <v>88</v>
      </c>
      <c r="B60" s="47" t="s">
        <v>84</v>
      </c>
      <c r="C60" s="47">
        <v>0.4</v>
      </c>
      <c r="D60" s="16">
        <f ca="1">IFERROR(__xludf.DUMMYFUNCTION("+C58*$B$2"),32)</f>
        <v>32</v>
      </c>
      <c r="E60" s="20">
        <v>150000</v>
      </c>
      <c r="F60" s="20">
        <v>60000</v>
      </c>
      <c r="G60" s="18">
        <f ca="1">IFERROR(__xludf.DUMMYFUNCTION("+E58*D58"),4800000)</f>
        <v>4800000</v>
      </c>
      <c r="H60" s="48"/>
      <c r="J60" s="20"/>
      <c r="K60" s="20"/>
      <c r="L60" s="20">
        <f ca="1">IFERROR(__xludf.DUMMYFUNCTION("+J58+K58"),0)</f>
        <v>0</v>
      </c>
      <c r="M60" s="20">
        <f ca="1">IFERROR(__xludf.DUMMYFUNCTION("+L58*$D58"),0)</f>
        <v>0</v>
      </c>
      <c r="O60" s="20"/>
      <c r="P60" s="20"/>
      <c r="Q60" s="20">
        <f ca="1">IFERROR(__xludf.DUMMYFUNCTION("+O58+P58"),0)</f>
        <v>0</v>
      </c>
      <c r="R60" s="20">
        <f ca="1">IFERROR(__xludf.DUMMYFUNCTION("+Q58*$D58"),0)</f>
        <v>0</v>
      </c>
      <c r="T60" s="20"/>
      <c r="U60" s="20"/>
      <c r="V60" s="20">
        <f ca="1">IFERROR(__xludf.DUMMYFUNCTION("+T58+U58"),0)</f>
        <v>0</v>
      </c>
      <c r="W60" s="20">
        <f ca="1">IFERROR(__xludf.DUMMYFUNCTION("+V58*$D58"),0)</f>
        <v>0</v>
      </c>
      <c r="Y60" s="20"/>
      <c r="Z60" s="20"/>
      <c r="AA60" s="20">
        <f ca="1">IFERROR(__xludf.DUMMYFUNCTION("+Y58+Z58"),0)</f>
        <v>0</v>
      </c>
      <c r="AB60" s="20">
        <f ca="1">IFERROR(__xludf.DUMMYFUNCTION("+AA58*$D58"),0)</f>
        <v>0</v>
      </c>
      <c r="AD60" s="20">
        <v>225000</v>
      </c>
      <c r="AE60" s="20">
        <f ca="1">IFERROR(__xludf.DUMMYFUNCTION("+AD58*19%"),42750)</f>
        <v>42750</v>
      </c>
      <c r="AF60" s="20">
        <f ca="1">IFERROR(__xludf.DUMMYFUNCTION("+AD58+AE58"),267750)</f>
        <v>267750</v>
      </c>
      <c r="AG60" s="20">
        <f ca="1">IFERROR(__xludf.DUMMYFUNCTION("+AF58*$D58"),8568000)</f>
        <v>8568000</v>
      </c>
      <c r="AI60" s="20"/>
      <c r="AJ60" s="20"/>
      <c r="AK60" s="20">
        <f ca="1">IFERROR(__xludf.DUMMYFUNCTION("+AI58+AJ58"),0)</f>
        <v>0</v>
      </c>
      <c r="AL60" s="20">
        <f ca="1">IFERROR(__xludf.DUMMYFUNCTION("+AK58*$D58"),0)</f>
        <v>0</v>
      </c>
      <c r="AM60" s="49"/>
      <c r="AN60" s="20"/>
      <c r="AO60" s="20"/>
      <c r="AP60" s="20">
        <f ca="1">IFERROR(__xludf.DUMMYFUNCTION("+AN58+AO58"),0)</f>
        <v>0</v>
      </c>
      <c r="AQ60" s="20">
        <f ca="1">IFERROR(__xludf.DUMMYFUNCTION("+AP58*$D58"),0)</f>
        <v>0</v>
      </c>
      <c r="AS60" s="20"/>
      <c r="AT60" s="20"/>
      <c r="AU60" s="20">
        <f ca="1">IFERROR(__xludf.DUMMYFUNCTION("+AS58+AT58"),0)</f>
        <v>0</v>
      </c>
      <c r="AV60" s="20">
        <f ca="1">IFERROR(__xludf.DUMMYFUNCTION("+AU58*$D58"),0)</f>
        <v>0</v>
      </c>
      <c r="AX60" s="20"/>
      <c r="AY60" s="20"/>
      <c r="AZ60" s="20">
        <f ca="1">IFERROR(__xludf.DUMMYFUNCTION("+AX58+AY58"),0)</f>
        <v>0</v>
      </c>
      <c r="BA60" s="20">
        <f ca="1">IFERROR(__xludf.DUMMYFUNCTION("+AZ58*$D58"),0)</f>
        <v>0</v>
      </c>
      <c r="BC60" s="20"/>
      <c r="BD60" s="20"/>
      <c r="BE60" s="20">
        <f ca="1">IFERROR(__xludf.DUMMYFUNCTION("+BC58+BD58"),0)</f>
        <v>0</v>
      </c>
      <c r="BF60" s="20">
        <f ca="1">IFERROR(__xludf.DUMMYFUNCTION("+BE58*$D58"),0)</f>
        <v>0</v>
      </c>
      <c r="BH60" s="20"/>
      <c r="BI60" s="20"/>
      <c r="BJ60" s="20">
        <f ca="1">IFERROR(__xludf.DUMMYFUNCTION("+BH58+BI58"),0)</f>
        <v>0</v>
      </c>
      <c r="BK60" s="20">
        <f ca="1">IFERROR(__xludf.DUMMYFUNCTION("+BJ58*$D58"),0)</f>
        <v>0</v>
      </c>
      <c r="BM60" s="20"/>
      <c r="BN60" s="20"/>
      <c r="BO60" s="20">
        <f ca="1">IFERROR(__xludf.DUMMYFUNCTION("+BH58+BI58"),0)</f>
        <v>0</v>
      </c>
      <c r="BP60" s="20">
        <f ca="1">IFERROR(__xludf.DUMMYFUNCTION("+BJ58*$D58"),0)</f>
        <v>0</v>
      </c>
      <c r="BR60" s="20"/>
      <c r="BS60" s="20"/>
      <c r="BT60" s="20">
        <f ca="1">IFERROR(__xludf.DUMMYFUNCTION("+BH58+BI58"),0)</f>
        <v>0</v>
      </c>
      <c r="BU60" s="20">
        <f ca="1">IFERROR(__xludf.DUMMYFUNCTION("+BJ58*$D58"),0)</f>
        <v>0</v>
      </c>
      <c r="BW60" s="20"/>
      <c r="BX60" s="20"/>
      <c r="BY60" s="20">
        <f ca="1">IFERROR(__xludf.DUMMYFUNCTION("+BH58+BI58"),0)</f>
        <v>0</v>
      </c>
      <c r="BZ60" s="20">
        <f ca="1">IFERROR(__xludf.DUMMYFUNCTION("+BJ58*$D58"),0)</f>
        <v>0</v>
      </c>
      <c r="CB60" s="20"/>
      <c r="CC60" s="20"/>
      <c r="CD60" s="20">
        <f ca="1">IFERROR(__xludf.DUMMYFUNCTION("+BH58+BI58"),0)</f>
        <v>0</v>
      </c>
      <c r="CE60" s="20">
        <f ca="1">IFERROR(__xludf.DUMMYFUNCTION("+BJ58*$D58"),0)</f>
        <v>0</v>
      </c>
      <c r="CG60" s="20"/>
      <c r="CH60" s="20"/>
      <c r="CI60" s="20">
        <f ca="1">IFERROR(__xludf.DUMMYFUNCTION("+BH58+BI58"),0)</f>
        <v>0</v>
      </c>
      <c r="CJ60" s="20">
        <f ca="1">IFERROR(__xludf.DUMMYFUNCTION("+BJ58*$D58"),0)</f>
        <v>0</v>
      </c>
      <c r="CL60" s="20"/>
      <c r="CM60" s="20"/>
      <c r="CN60" s="20">
        <f ca="1">IFERROR(__xludf.DUMMYFUNCTION("+BH58+BI58"),0)</f>
        <v>0</v>
      </c>
      <c r="CO60" s="20">
        <f ca="1">IFERROR(__xludf.DUMMYFUNCTION("+BJ58*$D58"),0)</f>
        <v>0</v>
      </c>
      <c r="CQ60" s="138">
        <f ca="1">AVERAGE(AF60)</f>
        <v>267750</v>
      </c>
    </row>
    <row r="61" spans="1:95" ht="15.75" customHeight="1" x14ac:dyDescent="0.2">
      <c r="A61" s="46" t="s">
        <v>89</v>
      </c>
      <c r="B61" s="47" t="s">
        <v>78</v>
      </c>
      <c r="C61" s="47">
        <v>24</v>
      </c>
      <c r="D61" s="16">
        <f ca="1">IFERROR(__xludf.DUMMYFUNCTION("+C59*$B$2"),1920)</f>
        <v>1920</v>
      </c>
      <c r="E61" s="20">
        <v>33500</v>
      </c>
      <c r="F61" s="20">
        <v>804000</v>
      </c>
      <c r="G61" s="18">
        <f ca="1">IFERROR(__xludf.DUMMYFUNCTION("+E59*D59"),64320000)</f>
        <v>64320000</v>
      </c>
      <c r="H61" s="46" t="s">
        <v>90</v>
      </c>
      <c r="J61" s="20"/>
      <c r="K61" s="20"/>
      <c r="L61" s="20">
        <f ca="1">IFERROR(__xludf.DUMMYFUNCTION("+J59+K59"),0)</f>
        <v>0</v>
      </c>
      <c r="M61" s="20">
        <f ca="1">IFERROR(__xludf.DUMMYFUNCTION("+L59*$D59"),0)</f>
        <v>0</v>
      </c>
      <c r="O61" s="20"/>
      <c r="P61" s="20"/>
      <c r="Q61" s="20">
        <f ca="1">IFERROR(__xludf.DUMMYFUNCTION("+O59+P59"),0)</f>
        <v>0</v>
      </c>
      <c r="R61" s="20">
        <f ca="1">IFERROR(__xludf.DUMMYFUNCTION("+Q59*$D59"),0)</f>
        <v>0</v>
      </c>
      <c r="T61" s="20"/>
      <c r="U61" s="20"/>
      <c r="V61" s="20">
        <f ca="1">IFERROR(__xludf.DUMMYFUNCTION("+T59+U59"),0)</f>
        <v>0</v>
      </c>
      <c r="W61" s="20">
        <f ca="1">IFERROR(__xludf.DUMMYFUNCTION("+V59*$D59"),0)</f>
        <v>0</v>
      </c>
      <c r="Y61" s="20"/>
      <c r="Z61" s="20"/>
      <c r="AA61" s="20">
        <f ca="1">IFERROR(__xludf.DUMMYFUNCTION("+Y59+Z59"),0)</f>
        <v>0</v>
      </c>
      <c r="AB61" s="20">
        <f ca="1">IFERROR(__xludf.DUMMYFUNCTION("+AA59*$D59"),0)</f>
        <v>0</v>
      </c>
      <c r="AD61" s="20">
        <v>39980</v>
      </c>
      <c r="AE61" s="20">
        <f ca="1">IFERROR(__xludf.DUMMYFUNCTION("+AD59*19%"),7596.2)</f>
        <v>7596.2</v>
      </c>
      <c r="AF61" s="20">
        <f ca="1">IFERROR(__xludf.DUMMYFUNCTION("+AD59+AE59"),47576.2)</f>
        <v>47576.2</v>
      </c>
      <c r="AG61" s="20">
        <f ca="1">IFERROR(__xludf.DUMMYFUNCTION("+AF59*$D59"),91346304)</f>
        <v>91346304</v>
      </c>
      <c r="AI61" s="20"/>
      <c r="AJ61" s="20"/>
      <c r="AK61" s="20">
        <f ca="1">IFERROR(__xludf.DUMMYFUNCTION("+AI59+AJ59"),0)</f>
        <v>0</v>
      </c>
      <c r="AL61" s="20">
        <f ca="1">IFERROR(__xludf.DUMMYFUNCTION("+AK59*$D59"),0)</f>
        <v>0</v>
      </c>
      <c r="AM61" s="51"/>
      <c r="AN61" s="20">
        <v>21060</v>
      </c>
      <c r="AO61" s="20">
        <v>4940</v>
      </c>
      <c r="AP61" s="20">
        <f ca="1">IFERROR(__xludf.DUMMYFUNCTION("+AN59+AO59"),26000)</f>
        <v>26000</v>
      </c>
      <c r="AQ61" s="20">
        <f ca="1">IFERROR(__xludf.DUMMYFUNCTION("+AP59*$D59"),49920000)</f>
        <v>49920000</v>
      </c>
      <c r="AS61" s="20"/>
      <c r="AT61" s="20"/>
      <c r="AU61" s="20">
        <f ca="1">IFERROR(__xludf.DUMMYFUNCTION("+AS59+AT59"),0)</f>
        <v>0</v>
      </c>
      <c r="AV61" s="20">
        <f ca="1">IFERROR(__xludf.DUMMYFUNCTION("+AU59*$D59"),0)</f>
        <v>0</v>
      </c>
      <c r="AX61" s="20"/>
      <c r="AY61" s="20"/>
      <c r="AZ61" s="20">
        <f ca="1">IFERROR(__xludf.DUMMYFUNCTION("+AX59+AY59"),0)</f>
        <v>0</v>
      </c>
      <c r="BA61" s="20">
        <f ca="1">IFERROR(__xludf.DUMMYFUNCTION("+AZ59*$D59"),0)</f>
        <v>0</v>
      </c>
      <c r="BC61" s="20"/>
      <c r="BD61" s="20"/>
      <c r="BE61" s="20">
        <f ca="1">IFERROR(__xludf.DUMMYFUNCTION("+BC59+BD59"),0)</f>
        <v>0</v>
      </c>
      <c r="BF61" s="20">
        <f ca="1">IFERROR(__xludf.DUMMYFUNCTION("+BE59*$D59"),0)</f>
        <v>0</v>
      </c>
      <c r="BH61" s="20"/>
      <c r="BI61" s="20"/>
      <c r="BJ61" s="20">
        <f ca="1">IFERROR(__xludf.DUMMYFUNCTION("+BH59+BI59"),0)</f>
        <v>0</v>
      </c>
      <c r="BK61" s="20">
        <f ca="1">IFERROR(__xludf.DUMMYFUNCTION("+BJ59*$D59"),0)</f>
        <v>0</v>
      </c>
      <c r="BM61" s="20"/>
      <c r="BN61" s="20"/>
      <c r="BO61" s="20">
        <f ca="1">IFERROR(__xludf.DUMMYFUNCTION("+BH59+BI59"),0)</f>
        <v>0</v>
      </c>
      <c r="BP61" s="20">
        <f ca="1">IFERROR(__xludf.DUMMYFUNCTION("+BJ59*$D59"),0)</f>
        <v>0</v>
      </c>
      <c r="BR61" s="20"/>
      <c r="BS61" s="20"/>
      <c r="BT61" s="20">
        <f ca="1">IFERROR(__xludf.DUMMYFUNCTION("+BH59+BI59"),0)</f>
        <v>0</v>
      </c>
      <c r="BU61" s="20">
        <f ca="1">IFERROR(__xludf.DUMMYFUNCTION("+BJ59*$D59"),0)</f>
        <v>0</v>
      </c>
      <c r="BW61" s="20"/>
      <c r="BX61" s="20"/>
      <c r="BY61" s="20">
        <f ca="1">IFERROR(__xludf.DUMMYFUNCTION("+BH59+BI59"),0)</f>
        <v>0</v>
      </c>
      <c r="BZ61" s="20">
        <f ca="1">IFERROR(__xludf.DUMMYFUNCTION("+BJ59*$D59"),0)</f>
        <v>0</v>
      </c>
      <c r="CB61" s="20"/>
      <c r="CC61" s="20"/>
      <c r="CD61" s="20">
        <f ca="1">IFERROR(__xludf.DUMMYFUNCTION("+BH59+BI59"),0)</f>
        <v>0</v>
      </c>
      <c r="CE61" s="20">
        <f ca="1">IFERROR(__xludf.DUMMYFUNCTION("+BJ59*$D59"),0)</f>
        <v>0</v>
      </c>
      <c r="CG61" s="20"/>
      <c r="CH61" s="20"/>
      <c r="CI61" s="20">
        <f ca="1">IFERROR(__xludf.DUMMYFUNCTION("+BH59+BI59"),0)</f>
        <v>0</v>
      </c>
      <c r="CJ61" s="20">
        <f ca="1">IFERROR(__xludf.DUMMYFUNCTION("+BJ59*$D59"),0)</f>
        <v>0</v>
      </c>
      <c r="CL61" s="20"/>
      <c r="CM61" s="20"/>
      <c r="CN61" s="20">
        <f ca="1">IFERROR(__xludf.DUMMYFUNCTION("+BH59+BI59"),0)</f>
        <v>0</v>
      </c>
      <c r="CO61" s="20">
        <f ca="1">IFERROR(__xludf.DUMMYFUNCTION("+BJ59*$D59"),0)</f>
        <v>0</v>
      </c>
      <c r="CQ61" s="138">
        <f t="shared" ca="1" si="52"/>
        <v>36788.1</v>
      </c>
    </row>
    <row r="62" spans="1:95" ht="15.75" customHeight="1" x14ac:dyDescent="0.2">
      <c r="A62" s="46" t="s">
        <v>91</v>
      </c>
      <c r="B62" s="47" t="s">
        <v>78</v>
      </c>
      <c r="C62" s="47">
        <v>4</v>
      </c>
      <c r="D62" s="16">
        <f ca="1">IFERROR(__xludf.DUMMYFUNCTION("+C60*$B$2"),320)</f>
        <v>320</v>
      </c>
      <c r="E62" s="20">
        <v>46500</v>
      </c>
      <c r="F62" s="20">
        <v>186000</v>
      </c>
      <c r="G62" s="18">
        <f ca="1">IFERROR(__xludf.DUMMYFUNCTION("+E60*D60"),14880000)</f>
        <v>14880000</v>
      </c>
      <c r="H62" s="46" t="s">
        <v>90</v>
      </c>
      <c r="J62" s="20"/>
      <c r="K62" s="20"/>
      <c r="L62" s="20">
        <f ca="1">IFERROR(__xludf.DUMMYFUNCTION("+J60+K60"),0)</f>
        <v>0</v>
      </c>
      <c r="M62" s="20">
        <f ca="1">IFERROR(__xludf.DUMMYFUNCTION("+L60*$D60"),0)</f>
        <v>0</v>
      </c>
      <c r="O62" s="20"/>
      <c r="P62" s="20"/>
      <c r="Q62" s="20">
        <f ca="1">IFERROR(__xludf.DUMMYFUNCTION("+O60+P60"),0)</f>
        <v>0</v>
      </c>
      <c r="R62" s="20">
        <f ca="1">IFERROR(__xludf.DUMMYFUNCTION("+Q60*$D60"),0)</f>
        <v>0</v>
      </c>
      <c r="T62" s="20"/>
      <c r="U62" s="20"/>
      <c r="V62" s="20">
        <f ca="1">IFERROR(__xludf.DUMMYFUNCTION("+T60+U60"),0)</f>
        <v>0</v>
      </c>
      <c r="W62" s="20">
        <f ca="1">IFERROR(__xludf.DUMMYFUNCTION("+V60*$D60"),0)</f>
        <v>0</v>
      </c>
      <c r="Y62" s="20"/>
      <c r="Z62" s="20"/>
      <c r="AA62" s="20">
        <f ca="1">IFERROR(__xludf.DUMMYFUNCTION("+Y60+Z60"),0)</f>
        <v>0</v>
      </c>
      <c r="AB62" s="20">
        <f ca="1">IFERROR(__xludf.DUMMYFUNCTION("+AA60*$D60"),0)</f>
        <v>0</v>
      </c>
      <c r="AD62" s="20">
        <v>48500</v>
      </c>
      <c r="AE62" s="20">
        <f ca="1">IFERROR(__xludf.DUMMYFUNCTION("+AD60*19%"),9215)</f>
        <v>9215</v>
      </c>
      <c r="AF62" s="20">
        <f ca="1">IFERROR(__xludf.DUMMYFUNCTION("+AD60+AE60"),57715)</f>
        <v>57715</v>
      </c>
      <c r="AG62" s="20">
        <f ca="1">IFERROR(__xludf.DUMMYFUNCTION("+AF60*$D60"),18468800)</f>
        <v>18468800</v>
      </c>
      <c r="AI62" s="20"/>
      <c r="AJ62" s="20"/>
      <c r="AK62" s="20">
        <f ca="1">IFERROR(__xludf.DUMMYFUNCTION("+AI60+AJ60"),0)</f>
        <v>0</v>
      </c>
      <c r="AL62" s="20">
        <f ca="1">IFERROR(__xludf.DUMMYFUNCTION("+AK60*$D60"),0)</f>
        <v>0</v>
      </c>
      <c r="AM62" s="51"/>
      <c r="AN62" s="20">
        <v>24624</v>
      </c>
      <c r="AO62" s="20">
        <v>5776</v>
      </c>
      <c r="AP62" s="20">
        <f ca="1">IFERROR(__xludf.DUMMYFUNCTION("+AN60+AO60"),30400)</f>
        <v>30400</v>
      </c>
      <c r="AQ62" s="20">
        <f ca="1">IFERROR(__xludf.DUMMYFUNCTION("+AP60*$D60"),9728000)</f>
        <v>9728000</v>
      </c>
      <c r="AS62" s="20"/>
      <c r="AT62" s="20"/>
      <c r="AU62" s="20">
        <f ca="1">IFERROR(__xludf.DUMMYFUNCTION("+AS60+AT60"),0)</f>
        <v>0</v>
      </c>
      <c r="AV62" s="20">
        <f ca="1">IFERROR(__xludf.DUMMYFUNCTION("+AU60*$D60"),0)</f>
        <v>0</v>
      </c>
      <c r="AX62" s="20"/>
      <c r="AY62" s="20"/>
      <c r="AZ62" s="20">
        <f ca="1">IFERROR(__xludf.DUMMYFUNCTION("+AX60+AY60"),0)</f>
        <v>0</v>
      </c>
      <c r="BA62" s="20">
        <f ca="1">IFERROR(__xludf.DUMMYFUNCTION("+AZ60*$D60"),0)</f>
        <v>0</v>
      </c>
      <c r="BC62" s="20"/>
      <c r="BD62" s="20"/>
      <c r="BE62" s="20">
        <f ca="1">IFERROR(__xludf.DUMMYFUNCTION("+BC60+BD60"),0)</f>
        <v>0</v>
      </c>
      <c r="BF62" s="20">
        <f ca="1">IFERROR(__xludf.DUMMYFUNCTION("+BE60*$D60"),0)</f>
        <v>0</v>
      </c>
      <c r="BH62" s="20"/>
      <c r="BI62" s="20"/>
      <c r="BJ62" s="20">
        <f ca="1">IFERROR(__xludf.DUMMYFUNCTION("+BH60+BI60"),0)</f>
        <v>0</v>
      </c>
      <c r="BK62" s="20">
        <f ca="1">IFERROR(__xludf.DUMMYFUNCTION("+BJ60*$D60"),0)</f>
        <v>0</v>
      </c>
      <c r="BM62" s="20"/>
      <c r="BN62" s="20"/>
      <c r="BO62" s="20">
        <f ca="1">IFERROR(__xludf.DUMMYFUNCTION("+BH60+BI60"),0)</f>
        <v>0</v>
      </c>
      <c r="BP62" s="20">
        <f ca="1">IFERROR(__xludf.DUMMYFUNCTION("+BJ60*$D60"),0)</f>
        <v>0</v>
      </c>
      <c r="BR62" s="20"/>
      <c r="BS62" s="20"/>
      <c r="BT62" s="20">
        <f ca="1">IFERROR(__xludf.DUMMYFUNCTION("+BH60+BI60"),0)</f>
        <v>0</v>
      </c>
      <c r="BU62" s="20">
        <f ca="1">IFERROR(__xludf.DUMMYFUNCTION("+BJ60*$D60"),0)</f>
        <v>0</v>
      </c>
      <c r="BW62" s="20"/>
      <c r="BX62" s="20"/>
      <c r="BY62" s="20">
        <f ca="1">IFERROR(__xludf.DUMMYFUNCTION("+BH60+BI60"),0)</f>
        <v>0</v>
      </c>
      <c r="BZ62" s="20">
        <f ca="1">IFERROR(__xludf.DUMMYFUNCTION("+BJ60*$D60"),0)</f>
        <v>0</v>
      </c>
      <c r="CB62" s="20"/>
      <c r="CC62" s="20"/>
      <c r="CD62" s="20">
        <f ca="1">IFERROR(__xludf.DUMMYFUNCTION("+BH60+BI60"),0)</f>
        <v>0</v>
      </c>
      <c r="CE62" s="20">
        <f ca="1">IFERROR(__xludf.DUMMYFUNCTION("+BJ60*$D60"),0)</f>
        <v>0</v>
      </c>
      <c r="CG62" s="20"/>
      <c r="CH62" s="20"/>
      <c r="CI62" s="20">
        <f ca="1">IFERROR(__xludf.DUMMYFUNCTION("+BH60+BI60"),0)</f>
        <v>0</v>
      </c>
      <c r="CJ62" s="20">
        <f ca="1">IFERROR(__xludf.DUMMYFUNCTION("+BJ60*$D60"),0)</f>
        <v>0</v>
      </c>
      <c r="CL62" s="20"/>
      <c r="CM62" s="20"/>
      <c r="CN62" s="20">
        <f ca="1">IFERROR(__xludf.DUMMYFUNCTION("+BH60+BI60"),0)</f>
        <v>0</v>
      </c>
      <c r="CO62" s="20">
        <f ca="1">IFERROR(__xludf.DUMMYFUNCTION("+BJ60*$D60"),0)</f>
        <v>0</v>
      </c>
      <c r="CQ62" s="138">
        <f t="shared" ca="1" si="52"/>
        <v>44057.5</v>
      </c>
    </row>
    <row r="63" spans="1:95" ht="15.75" customHeight="1" x14ac:dyDescent="0.2">
      <c r="A63" s="46" t="s">
        <v>92</v>
      </c>
      <c r="B63" s="47" t="s">
        <v>78</v>
      </c>
      <c r="C63" s="47">
        <v>4</v>
      </c>
      <c r="D63" s="16">
        <f ca="1">IFERROR(__xludf.DUMMYFUNCTION("+C61*$B$2"),320)</f>
        <v>320</v>
      </c>
      <c r="E63" s="20">
        <v>67000</v>
      </c>
      <c r="F63" s="20">
        <v>268000</v>
      </c>
      <c r="G63" s="18">
        <f ca="1">IFERROR(__xludf.DUMMYFUNCTION("+E61*D61"),21440000)</f>
        <v>21440000</v>
      </c>
      <c r="H63" s="46" t="s">
        <v>90</v>
      </c>
      <c r="J63" s="20"/>
      <c r="K63" s="20"/>
      <c r="L63" s="20">
        <f ca="1">IFERROR(__xludf.DUMMYFUNCTION("+J61+K61"),0)</f>
        <v>0</v>
      </c>
      <c r="M63" s="20">
        <f ca="1">IFERROR(__xludf.DUMMYFUNCTION("+L61*$D61"),0)</f>
        <v>0</v>
      </c>
      <c r="O63" s="20"/>
      <c r="P63" s="20"/>
      <c r="Q63" s="20">
        <f ca="1">IFERROR(__xludf.DUMMYFUNCTION("+O61+P61"),0)</f>
        <v>0</v>
      </c>
      <c r="R63" s="20">
        <f ca="1">IFERROR(__xludf.DUMMYFUNCTION("+Q61*$D61"),0)</f>
        <v>0</v>
      </c>
      <c r="T63" s="20"/>
      <c r="U63" s="20"/>
      <c r="V63" s="20">
        <f ca="1">IFERROR(__xludf.DUMMYFUNCTION("+T61+U61"),0)</f>
        <v>0</v>
      </c>
      <c r="W63" s="20">
        <f ca="1">IFERROR(__xludf.DUMMYFUNCTION("+V61*$D61"),0)</f>
        <v>0</v>
      </c>
      <c r="Y63" s="20"/>
      <c r="Z63" s="20"/>
      <c r="AA63" s="20">
        <f ca="1">IFERROR(__xludf.DUMMYFUNCTION("+Y61+Z61"),0)</f>
        <v>0</v>
      </c>
      <c r="AB63" s="20">
        <f ca="1">IFERROR(__xludf.DUMMYFUNCTION("+AA61*$D61"),0)</f>
        <v>0</v>
      </c>
      <c r="AD63" s="20">
        <v>69850</v>
      </c>
      <c r="AE63" s="20">
        <f ca="1">IFERROR(__xludf.DUMMYFUNCTION("+AD61*19%"),13271.5)</f>
        <v>13271.5</v>
      </c>
      <c r="AF63" s="20">
        <f ca="1">IFERROR(__xludf.DUMMYFUNCTION("+AD61+AE61"),83121.5)</f>
        <v>83121.5</v>
      </c>
      <c r="AG63" s="20">
        <f ca="1">IFERROR(__xludf.DUMMYFUNCTION("+AF61*$D61"),26598880)</f>
        <v>26598880</v>
      </c>
      <c r="AI63" s="20"/>
      <c r="AJ63" s="20"/>
      <c r="AK63" s="20">
        <f ca="1">IFERROR(__xludf.DUMMYFUNCTION("+AI61+AJ61"),0)</f>
        <v>0</v>
      </c>
      <c r="AL63" s="20">
        <f ca="1">IFERROR(__xludf.DUMMYFUNCTION("+AK61*$D61"),0)</f>
        <v>0</v>
      </c>
      <c r="AM63" s="51"/>
      <c r="AN63" s="20">
        <v>36936</v>
      </c>
      <c r="AO63" s="20">
        <v>8664</v>
      </c>
      <c r="AP63" s="20">
        <f ca="1">IFERROR(__xludf.DUMMYFUNCTION("+AN61+AO61"),45600)</f>
        <v>45600</v>
      </c>
      <c r="AQ63" s="20">
        <f ca="1">IFERROR(__xludf.DUMMYFUNCTION("+AP61*$D61"),14592000)</f>
        <v>14592000</v>
      </c>
      <c r="AS63" s="20"/>
      <c r="AT63" s="20"/>
      <c r="AU63" s="20">
        <f ca="1">IFERROR(__xludf.DUMMYFUNCTION("+AS61+AT61"),0)</f>
        <v>0</v>
      </c>
      <c r="AV63" s="20">
        <f ca="1">IFERROR(__xludf.DUMMYFUNCTION("+AU61*$D61"),0)</f>
        <v>0</v>
      </c>
      <c r="AX63" s="20"/>
      <c r="AY63" s="20"/>
      <c r="AZ63" s="20">
        <f ca="1">IFERROR(__xludf.DUMMYFUNCTION("+AX61+AY61"),0)</f>
        <v>0</v>
      </c>
      <c r="BA63" s="20">
        <f ca="1">IFERROR(__xludf.DUMMYFUNCTION("+AZ61*$D61"),0)</f>
        <v>0</v>
      </c>
      <c r="BC63" s="20"/>
      <c r="BD63" s="20"/>
      <c r="BE63" s="20">
        <f ca="1">IFERROR(__xludf.DUMMYFUNCTION("+BC61+BD61"),0)</f>
        <v>0</v>
      </c>
      <c r="BF63" s="20">
        <f ca="1">IFERROR(__xludf.DUMMYFUNCTION("+BE61*$D61"),0)</f>
        <v>0</v>
      </c>
      <c r="BH63" s="20"/>
      <c r="BI63" s="20"/>
      <c r="BJ63" s="20">
        <f ca="1">IFERROR(__xludf.DUMMYFUNCTION("+BH61+BI61"),0)</f>
        <v>0</v>
      </c>
      <c r="BK63" s="20">
        <f ca="1">IFERROR(__xludf.DUMMYFUNCTION("+BJ61*$D61"),0)</f>
        <v>0</v>
      </c>
      <c r="BM63" s="20"/>
      <c r="BN63" s="20"/>
      <c r="BO63" s="20">
        <f ca="1">IFERROR(__xludf.DUMMYFUNCTION("+BH61+BI61"),0)</f>
        <v>0</v>
      </c>
      <c r="BP63" s="20">
        <f ca="1">IFERROR(__xludf.DUMMYFUNCTION("+BJ61*$D61"),0)</f>
        <v>0</v>
      </c>
      <c r="BR63" s="20"/>
      <c r="BS63" s="20"/>
      <c r="BT63" s="20">
        <f ca="1">IFERROR(__xludf.DUMMYFUNCTION("+BH61+BI61"),0)</f>
        <v>0</v>
      </c>
      <c r="BU63" s="20">
        <f ca="1">IFERROR(__xludf.DUMMYFUNCTION("+BJ61*$D61"),0)</f>
        <v>0</v>
      </c>
      <c r="BW63" s="20"/>
      <c r="BX63" s="20"/>
      <c r="BY63" s="20">
        <f ca="1">IFERROR(__xludf.DUMMYFUNCTION("+BH61+BI61"),0)</f>
        <v>0</v>
      </c>
      <c r="BZ63" s="20">
        <f ca="1">IFERROR(__xludf.DUMMYFUNCTION("+BJ61*$D61"),0)</f>
        <v>0</v>
      </c>
      <c r="CB63" s="20"/>
      <c r="CC63" s="20"/>
      <c r="CD63" s="20">
        <f ca="1">IFERROR(__xludf.DUMMYFUNCTION("+BH61+BI61"),0)</f>
        <v>0</v>
      </c>
      <c r="CE63" s="20">
        <f ca="1">IFERROR(__xludf.DUMMYFUNCTION("+BJ61*$D61"),0)</f>
        <v>0</v>
      </c>
      <c r="CG63" s="20"/>
      <c r="CH63" s="20"/>
      <c r="CI63" s="20">
        <f ca="1">IFERROR(__xludf.DUMMYFUNCTION("+BH61+BI61"),0)</f>
        <v>0</v>
      </c>
      <c r="CJ63" s="20">
        <f ca="1">IFERROR(__xludf.DUMMYFUNCTION("+BJ61*$D61"),0)</f>
        <v>0</v>
      </c>
      <c r="CL63" s="20"/>
      <c r="CM63" s="20"/>
      <c r="CN63" s="20">
        <f ca="1">IFERROR(__xludf.DUMMYFUNCTION("+BH61+BI61"),0)</f>
        <v>0</v>
      </c>
      <c r="CO63" s="20">
        <f ca="1">IFERROR(__xludf.DUMMYFUNCTION("+BJ61*$D61"),0)</f>
        <v>0</v>
      </c>
      <c r="CQ63" s="138">
        <f t="shared" ca="1" si="52"/>
        <v>64360.75</v>
      </c>
    </row>
    <row r="64" spans="1:95" ht="15.75" customHeight="1" x14ac:dyDescent="0.2">
      <c r="A64" s="46" t="s">
        <v>93</v>
      </c>
      <c r="B64" s="47" t="s">
        <v>78</v>
      </c>
      <c r="C64" s="47">
        <v>1</v>
      </c>
      <c r="D64" s="16">
        <f ca="1">IFERROR(__xludf.DUMMYFUNCTION("+C62*$B$2"),80)</f>
        <v>80</v>
      </c>
      <c r="E64" s="20">
        <v>76517</v>
      </c>
      <c r="F64" s="20">
        <v>76517</v>
      </c>
      <c r="G64" s="18">
        <f ca="1">IFERROR(__xludf.DUMMYFUNCTION("+E62*D62"),6121360)</f>
        <v>6121360</v>
      </c>
      <c r="H64" s="48"/>
      <c r="J64" s="20"/>
      <c r="K64" s="20"/>
      <c r="L64" s="20">
        <f ca="1">IFERROR(__xludf.DUMMYFUNCTION("+J62+K62"),0)</f>
        <v>0</v>
      </c>
      <c r="M64" s="20">
        <f ca="1">IFERROR(__xludf.DUMMYFUNCTION("+L62*$D62"),0)</f>
        <v>0</v>
      </c>
      <c r="O64" s="20"/>
      <c r="P64" s="20"/>
      <c r="Q64" s="20">
        <f ca="1">IFERROR(__xludf.DUMMYFUNCTION("+O62+P62"),0)</f>
        <v>0</v>
      </c>
      <c r="R64" s="20">
        <f ca="1">IFERROR(__xludf.DUMMYFUNCTION("+Q62*$D62"),0)</f>
        <v>0</v>
      </c>
      <c r="T64" s="20"/>
      <c r="U64" s="20"/>
      <c r="V64" s="20">
        <f ca="1">IFERROR(__xludf.DUMMYFUNCTION("+T62+U62"),0)</f>
        <v>0</v>
      </c>
      <c r="W64" s="20">
        <f ca="1">IFERROR(__xludf.DUMMYFUNCTION("+V62*$D62"),0)</f>
        <v>0</v>
      </c>
      <c r="Y64" s="20"/>
      <c r="Z64" s="20"/>
      <c r="AA64" s="20">
        <f ca="1">IFERROR(__xludf.DUMMYFUNCTION("+Y62+Z62"),0)</f>
        <v>0</v>
      </c>
      <c r="AB64" s="20">
        <f ca="1">IFERROR(__xludf.DUMMYFUNCTION("+AA62*$D62"),0)</f>
        <v>0</v>
      </c>
      <c r="AD64" s="20">
        <v>9500</v>
      </c>
      <c r="AE64" s="20">
        <f ca="1">IFERROR(__xludf.DUMMYFUNCTION("+AD62*19%"),1805)</f>
        <v>1805</v>
      </c>
      <c r="AF64" s="20">
        <f ca="1">IFERROR(__xludf.DUMMYFUNCTION("+AD62+AE62"),11305)</f>
        <v>11305</v>
      </c>
      <c r="AG64" s="20">
        <f ca="1">IFERROR(__xludf.DUMMYFUNCTION("+AF62*$D62"),904400)</f>
        <v>904400</v>
      </c>
      <c r="AI64" s="20"/>
      <c r="AJ64" s="20"/>
      <c r="AK64" s="20">
        <f ca="1">IFERROR(__xludf.DUMMYFUNCTION("+AI62+AJ62"),0)</f>
        <v>0</v>
      </c>
      <c r="AL64" s="20">
        <f ca="1">IFERROR(__xludf.DUMMYFUNCTION("+AK62*$D62"),0)</f>
        <v>0</v>
      </c>
      <c r="AM64" s="49"/>
      <c r="AN64" s="20"/>
      <c r="AO64" s="20"/>
      <c r="AP64" s="20">
        <f ca="1">IFERROR(__xludf.DUMMYFUNCTION("+AN62+AO62"),0)</f>
        <v>0</v>
      </c>
      <c r="AQ64" s="20">
        <f ca="1">IFERROR(__xludf.DUMMYFUNCTION("+AP62*$D62"),0)</f>
        <v>0</v>
      </c>
      <c r="AS64" s="20"/>
      <c r="AT64" s="20"/>
      <c r="AU64" s="20">
        <f ca="1">IFERROR(__xludf.DUMMYFUNCTION("+AS62+AT62"),0)</f>
        <v>0</v>
      </c>
      <c r="AV64" s="20">
        <f ca="1">IFERROR(__xludf.DUMMYFUNCTION("+AU62*$D62"),0)</f>
        <v>0</v>
      </c>
      <c r="AX64" s="20"/>
      <c r="AY64" s="20"/>
      <c r="AZ64" s="20">
        <f ca="1">IFERROR(__xludf.DUMMYFUNCTION("+AX62+AY62"),0)</f>
        <v>0</v>
      </c>
      <c r="BA64" s="20">
        <f ca="1">IFERROR(__xludf.DUMMYFUNCTION("+AZ62*$D62"),0)</f>
        <v>0</v>
      </c>
      <c r="BC64" s="20"/>
      <c r="BD64" s="20"/>
      <c r="BE64" s="20">
        <f ca="1">IFERROR(__xludf.DUMMYFUNCTION("+BC62+BD62"),0)</f>
        <v>0</v>
      </c>
      <c r="BF64" s="20">
        <f ca="1">IFERROR(__xludf.DUMMYFUNCTION("+BE62*$D62"),0)</f>
        <v>0</v>
      </c>
      <c r="BH64" s="20"/>
      <c r="BI64" s="20"/>
      <c r="BJ64" s="20">
        <f ca="1">IFERROR(__xludf.DUMMYFUNCTION("+BH62+BI62"),0)</f>
        <v>0</v>
      </c>
      <c r="BK64" s="20">
        <f ca="1">IFERROR(__xludf.DUMMYFUNCTION("+BJ62*$D62"),0)</f>
        <v>0</v>
      </c>
      <c r="BM64" s="20"/>
      <c r="BN64" s="20"/>
      <c r="BO64" s="20">
        <f ca="1">IFERROR(__xludf.DUMMYFUNCTION("+BH62+BI62"),0)</f>
        <v>0</v>
      </c>
      <c r="BP64" s="20">
        <f ca="1">IFERROR(__xludf.DUMMYFUNCTION("+BJ62*$D62"),0)</f>
        <v>0</v>
      </c>
      <c r="BR64" s="20"/>
      <c r="BS64" s="20"/>
      <c r="BT64" s="20">
        <f ca="1">IFERROR(__xludf.DUMMYFUNCTION("+BH62+BI62"),0)</f>
        <v>0</v>
      </c>
      <c r="BU64" s="20">
        <f ca="1">IFERROR(__xludf.DUMMYFUNCTION("+BJ62*$D62"),0)</f>
        <v>0</v>
      </c>
      <c r="BW64" s="20"/>
      <c r="BX64" s="20"/>
      <c r="BY64" s="20">
        <f ca="1">IFERROR(__xludf.DUMMYFUNCTION("+BH62+BI62"),0)</f>
        <v>0</v>
      </c>
      <c r="BZ64" s="20">
        <f ca="1">IFERROR(__xludf.DUMMYFUNCTION("+BJ62*$D62"),0)</f>
        <v>0</v>
      </c>
      <c r="CB64" s="20"/>
      <c r="CC64" s="20"/>
      <c r="CD64" s="20">
        <f ca="1">IFERROR(__xludf.DUMMYFUNCTION("+BH62+BI62"),0)</f>
        <v>0</v>
      </c>
      <c r="CE64" s="20">
        <f ca="1">IFERROR(__xludf.DUMMYFUNCTION("+BJ62*$D62"),0)</f>
        <v>0</v>
      </c>
      <c r="CG64" s="20"/>
      <c r="CH64" s="20"/>
      <c r="CI64" s="20">
        <f ca="1">IFERROR(__xludf.DUMMYFUNCTION("+BH62+BI62"),0)</f>
        <v>0</v>
      </c>
      <c r="CJ64" s="20">
        <f ca="1">IFERROR(__xludf.DUMMYFUNCTION("+BJ62*$D62"),0)</f>
        <v>0</v>
      </c>
      <c r="CL64" s="20"/>
      <c r="CM64" s="20"/>
      <c r="CN64" s="20">
        <f ca="1">IFERROR(__xludf.DUMMYFUNCTION("+BH62+BI62"),0)</f>
        <v>0</v>
      </c>
      <c r="CO64" s="20">
        <f ca="1">IFERROR(__xludf.DUMMYFUNCTION("+BJ62*$D62"),0)</f>
        <v>0</v>
      </c>
      <c r="CQ64" s="138">
        <f ca="1">AVERAGE(AF64)</f>
        <v>11305</v>
      </c>
    </row>
    <row r="65" spans="1:95" ht="15.75" customHeight="1" x14ac:dyDescent="0.2">
      <c r="A65" s="46" t="s">
        <v>94</v>
      </c>
      <c r="B65" s="47" t="s">
        <v>78</v>
      </c>
      <c r="C65" s="47">
        <v>1</v>
      </c>
      <c r="D65" s="16">
        <f ca="1">IFERROR(__xludf.DUMMYFUNCTION("+C63*$B$2"),80)</f>
        <v>80</v>
      </c>
      <c r="E65" s="20">
        <v>267000</v>
      </c>
      <c r="F65" s="20">
        <v>267000</v>
      </c>
      <c r="G65" s="18">
        <f ca="1">IFERROR(__xludf.DUMMYFUNCTION("+E63*D63"),21360000)</f>
        <v>21360000</v>
      </c>
      <c r="H65" s="48"/>
      <c r="J65" s="20"/>
      <c r="K65" s="20"/>
      <c r="L65" s="20">
        <f ca="1">IFERROR(__xludf.DUMMYFUNCTION("+J63+K63"),0)</f>
        <v>0</v>
      </c>
      <c r="M65" s="20">
        <f ca="1">IFERROR(__xludf.DUMMYFUNCTION("+L63*$D63"),0)</f>
        <v>0</v>
      </c>
      <c r="O65" s="20"/>
      <c r="P65" s="20"/>
      <c r="Q65" s="20">
        <f ca="1">IFERROR(__xludf.DUMMYFUNCTION("+O63+P63"),0)</f>
        <v>0</v>
      </c>
      <c r="R65" s="20">
        <f ca="1">IFERROR(__xludf.DUMMYFUNCTION("+Q63*$D63"),0)</f>
        <v>0</v>
      </c>
      <c r="T65" s="20"/>
      <c r="U65" s="20"/>
      <c r="V65" s="20">
        <f ca="1">IFERROR(__xludf.DUMMYFUNCTION("+T63+U63"),0)</f>
        <v>0</v>
      </c>
      <c r="W65" s="20">
        <f ca="1">IFERROR(__xludf.DUMMYFUNCTION("+V63*$D63"),0)</f>
        <v>0</v>
      </c>
      <c r="Y65" s="20"/>
      <c r="Z65" s="20"/>
      <c r="AA65" s="20">
        <f ca="1">IFERROR(__xludf.DUMMYFUNCTION("+Y63+Z63"),0)</f>
        <v>0</v>
      </c>
      <c r="AB65" s="20">
        <f ca="1">IFERROR(__xludf.DUMMYFUNCTION("+AA63*$D63"),0)</f>
        <v>0</v>
      </c>
      <c r="AD65" s="20">
        <v>144950</v>
      </c>
      <c r="AE65" s="20">
        <f ca="1">IFERROR(__xludf.DUMMYFUNCTION("+AD63*19%"),27540.5)</f>
        <v>27540.5</v>
      </c>
      <c r="AF65" s="20">
        <f ca="1">IFERROR(__xludf.DUMMYFUNCTION("+AD63+AE63"),172490.5)</f>
        <v>172490.5</v>
      </c>
      <c r="AG65" s="20">
        <f ca="1">IFERROR(__xludf.DUMMYFUNCTION("+AF63*$D63"),13799240)</f>
        <v>13799240</v>
      </c>
      <c r="AI65" s="20"/>
      <c r="AJ65" s="20"/>
      <c r="AK65" s="20">
        <f ca="1">IFERROR(__xludf.DUMMYFUNCTION("+AI63+AJ63"),0)</f>
        <v>0</v>
      </c>
      <c r="AL65" s="20">
        <f ca="1">IFERROR(__xludf.DUMMYFUNCTION("+AK63*$D63"),0)</f>
        <v>0</v>
      </c>
      <c r="AM65" s="49"/>
      <c r="AN65" s="20"/>
      <c r="AO65" s="20"/>
      <c r="AP65" s="20">
        <f ca="1">IFERROR(__xludf.DUMMYFUNCTION("+AN63+AO63"),0)</f>
        <v>0</v>
      </c>
      <c r="AQ65" s="20">
        <f ca="1">IFERROR(__xludf.DUMMYFUNCTION("+AP63*$D63"),0)</f>
        <v>0</v>
      </c>
      <c r="AS65" s="20"/>
      <c r="AT65" s="20"/>
      <c r="AU65" s="20">
        <f ca="1">IFERROR(__xludf.DUMMYFUNCTION("+AS63+AT63"),0)</f>
        <v>0</v>
      </c>
      <c r="AV65" s="20">
        <f ca="1">IFERROR(__xludf.DUMMYFUNCTION("+AU63*$D63"),0)</f>
        <v>0</v>
      </c>
      <c r="AX65" s="20"/>
      <c r="AY65" s="20"/>
      <c r="AZ65" s="20">
        <f ca="1">IFERROR(__xludf.DUMMYFUNCTION("+AX63+AY63"),0)</f>
        <v>0</v>
      </c>
      <c r="BA65" s="20">
        <f ca="1">IFERROR(__xludf.DUMMYFUNCTION("+AZ63*$D63"),0)</f>
        <v>0</v>
      </c>
      <c r="BC65" s="20"/>
      <c r="BD65" s="20"/>
      <c r="BE65" s="20">
        <f ca="1">IFERROR(__xludf.DUMMYFUNCTION("+BC63+BD63"),0)</f>
        <v>0</v>
      </c>
      <c r="BF65" s="20">
        <f ca="1">IFERROR(__xludf.DUMMYFUNCTION("+BE63*$D63"),0)</f>
        <v>0</v>
      </c>
      <c r="BH65" s="20"/>
      <c r="BI65" s="20"/>
      <c r="BJ65" s="20">
        <f ca="1">IFERROR(__xludf.DUMMYFUNCTION("+BH63+BI63"),0)</f>
        <v>0</v>
      </c>
      <c r="BK65" s="20">
        <f ca="1">IFERROR(__xludf.DUMMYFUNCTION("+BJ63*$D63"),0)</f>
        <v>0</v>
      </c>
      <c r="BM65" s="20"/>
      <c r="BN65" s="20"/>
      <c r="BO65" s="20">
        <f ca="1">IFERROR(__xludf.DUMMYFUNCTION("+BH63+BI63"),0)</f>
        <v>0</v>
      </c>
      <c r="BP65" s="20">
        <f ca="1">IFERROR(__xludf.DUMMYFUNCTION("+BJ63*$D63"),0)</f>
        <v>0</v>
      </c>
      <c r="BR65" s="20"/>
      <c r="BS65" s="20"/>
      <c r="BT65" s="20">
        <f ca="1">IFERROR(__xludf.DUMMYFUNCTION("+BH63+BI63"),0)</f>
        <v>0</v>
      </c>
      <c r="BU65" s="20">
        <f ca="1">IFERROR(__xludf.DUMMYFUNCTION("+BJ63*$D63"),0)</f>
        <v>0</v>
      </c>
      <c r="BW65" s="20"/>
      <c r="BX65" s="20"/>
      <c r="BY65" s="20">
        <f ca="1">IFERROR(__xludf.DUMMYFUNCTION("+BH63+BI63"),0)</f>
        <v>0</v>
      </c>
      <c r="BZ65" s="20">
        <f ca="1">IFERROR(__xludf.DUMMYFUNCTION("+BJ63*$D63"),0)</f>
        <v>0</v>
      </c>
      <c r="CB65" s="20"/>
      <c r="CC65" s="20"/>
      <c r="CD65" s="20">
        <f ca="1">IFERROR(__xludf.DUMMYFUNCTION("+BH63+BI63"),0)</f>
        <v>0</v>
      </c>
      <c r="CE65" s="20">
        <f ca="1">IFERROR(__xludf.DUMMYFUNCTION("+BJ63*$D63"),0)</f>
        <v>0</v>
      </c>
      <c r="CG65" s="20"/>
      <c r="CH65" s="20"/>
      <c r="CI65" s="20">
        <f ca="1">IFERROR(__xludf.DUMMYFUNCTION("+BH63+BI63"),0)</f>
        <v>0</v>
      </c>
      <c r="CJ65" s="20">
        <f ca="1">IFERROR(__xludf.DUMMYFUNCTION("+BJ63*$D63"),0)</f>
        <v>0</v>
      </c>
      <c r="CL65" s="20"/>
      <c r="CM65" s="20"/>
      <c r="CN65" s="20">
        <f ca="1">IFERROR(__xludf.DUMMYFUNCTION("+BH63+BI63"),0)</f>
        <v>0</v>
      </c>
      <c r="CO65" s="20">
        <f ca="1">IFERROR(__xludf.DUMMYFUNCTION("+BJ63*$D63"),0)</f>
        <v>0</v>
      </c>
      <c r="CQ65" s="138">
        <f t="shared" ref="CQ65:CQ70" ca="1" si="53">AVERAGE(AF65)</f>
        <v>172490.5</v>
      </c>
    </row>
    <row r="66" spans="1:95" ht="15.75" customHeight="1" x14ac:dyDescent="0.2">
      <c r="A66" s="46" t="s">
        <v>95</v>
      </c>
      <c r="B66" s="47" t="s">
        <v>78</v>
      </c>
      <c r="C66" s="47">
        <v>5</v>
      </c>
      <c r="D66" s="16">
        <f ca="1">IFERROR(__xludf.DUMMYFUNCTION("+C64*$B$2"),400)</f>
        <v>400</v>
      </c>
      <c r="E66" s="20">
        <v>60000</v>
      </c>
      <c r="F66" s="20">
        <v>300000</v>
      </c>
      <c r="G66" s="18">
        <f ca="1">IFERROR(__xludf.DUMMYFUNCTION("+E64*D64"),24000000)</f>
        <v>24000000</v>
      </c>
      <c r="H66" s="48"/>
      <c r="J66" s="20"/>
      <c r="K66" s="20"/>
      <c r="L66" s="20">
        <f ca="1">IFERROR(__xludf.DUMMYFUNCTION("+J64+K64"),0)</f>
        <v>0</v>
      </c>
      <c r="M66" s="20">
        <f ca="1">IFERROR(__xludf.DUMMYFUNCTION("+L64*$D64"),0)</f>
        <v>0</v>
      </c>
      <c r="O66" s="20"/>
      <c r="P66" s="20"/>
      <c r="Q66" s="20">
        <f ca="1">IFERROR(__xludf.DUMMYFUNCTION("+O64+P64"),0)</f>
        <v>0</v>
      </c>
      <c r="R66" s="20">
        <f ca="1">IFERROR(__xludf.DUMMYFUNCTION("+Q64*$D64"),0)</f>
        <v>0</v>
      </c>
      <c r="T66" s="20"/>
      <c r="U66" s="20"/>
      <c r="V66" s="20">
        <f ca="1">IFERROR(__xludf.DUMMYFUNCTION("+T64+U64"),0)</f>
        <v>0</v>
      </c>
      <c r="W66" s="20">
        <f ca="1">IFERROR(__xludf.DUMMYFUNCTION("+V64*$D64"),0)</f>
        <v>0</v>
      </c>
      <c r="Y66" s="20"/>
      <c r="Z66" s="20"/>
      <c r="AA66" s="20">
        <f ca="1">IFERROR(__xludf.DUMMYFUNCTION("+Y64+Z64"),0)</f>
        <v>0</v>
      </c>
      <c r="AB66" s="20">
        <f ca="1">IFERROR(__xludf.DUMMYFUNCTION("+AA64*$D64"),0)</f>
        <v>0</v>
      </c>
      <c r="AD66" s="20">
        <v>85000</v>
      </c>
      <c r="AE66" s="20">
        <f ca="1">IFERROR(__xludf.DUMMYFUNCTION("+AD64*19%"),16150)</f>
        <v>16150</v>
      </c>
      <c r="AF66" s="20">
        <f ca="1">IFERROR(__xludf.DUMMYFUNCTION("+AD64+AE64"),101150)</f>
        <v>101150</v>
      </c>
      <c r="AG66" s="20">
        <f ca="1">IFERROR(__xludf.DUMMYFUNCTION("+AF64*$D64"),40460000)</f>
        <v>40460000</v>
      </c>
      <c r="AI66" s="20"/>
      <c r="AJ66" s="20"/>
      <c r="AK66" s="20">
        <f ca="1">IFERROR(__xludf.DUMMYFUNCTION("+AI64+AJ64"),0)</f>
        <v>0</v>
      </c>
      <c r="AL66" s="20">
        <f ca="1">IFERROR(__xludf.DUMMYFUNCTION("+AK64*$D64"),0)</f>
        <v>0</v>
      </c>
      <c r="AM66" s="49"/>
      <c r="AN66" s="20"/>
      <c r="AO66" s="20"/>
      <c r="AP66" s="20">
        <f ca="1">IFERROR(__xludf.DUMMYFUNCTION("+AN64+AO64"),0)</f>
        <v>0</v>
      </c>
      <c r="AQ66" s="20">
        <f ca="1">IFERROR(__xludf.DUMMYFUNCTION("+AP64*$D64"),0)</f>
        <v>0</v>
      </c>
      <c r="AS66" s="20"/>
      <c r="AT66" s="20"/>
      <c r="AU66" s="20">
        <f ca="1">IFERROR(__xludf.DUMMYFUNCTION("+AS64+AT64"),0)</f>
        <v>0</v>
      </c>
      <c r="AV66" s="20">
        <f ca="1">IFERROR(__xludf.DUMMYFUNCTION("+AU64*$D64"),0)</f>
        <v>0</v>
      </c>
      <c r="AX66" s="20"/>
      <c r="AY66" s="20"/>
      <c r="AZ66" s="20">
        <f ca="1">IFERROR(__xludf.DUMMYFUNCTION("+AX64+AY64"),0)</f>
        <v>0</v>
      </c>
      <c r="BA66" s="20">
        <f ca="1">IFERROR(__xludf.DUMMYFUNCTION("+AZ64*$D64"),0)</f>
        <v>0</v>
      </c>
      <c r="BC66" s="20"/>
      <c r="BD66" s="20"/>
      <c r="BE66" s="20">
        <f ca="1">IFERROR(__xludf.DUMMYFUNCTION("+BC64+BD64"),0)</f>
        <v>0</v>
      </c>
      <c r="BF66" s="20">
        <f ca="1">IFERROR(__xludf.DUMMYFUNCTION("+BE64*$D64"),0)</f>
        <v>0</v>
      </c>
      <c r="BH66" s="20"/>
      <c r="BI66" s="20"/>
      <c r="BJ66" s="20">
        <f ca="1">IFERROR(__xludf.DUMMYFUNCTION("+BH64+BI64"),0)</f>
        <v>0</v>
      </c>
      <c r="BK66" s="20">
        <f ca="1">IFERROR(__xludf.DUMMYFUNCTION("+BJ64*$D64"),0)</f>
        <v>0</v>
      </c>
      <c r="BM66" s="20"/>
      <c r="BN66" s="20"/>
      <c r="BO66" s="20">
        <f ca="1">IFERROR(__xludf.DUMMYFUNCTION("+BH64+BI64"),0)</f>
        <v>0</v>
      </c>
      <c r="BP66" s="20">
        <f ca="1">IFERROR(__xludf.DUMMYFUNCTION("+BJ64*$D64"),0)</f>
        <v>0</v>
      </c>
      <c r="BR66" s="20"/>
      <c r="BS66" s="20"/>
      <c r="BT66" s="20">
        <f ca="1">IFERROR(__xludf.DUMMYFUNCTION("+BH64+BI64"),0)</f>
        <v>0</v>
      </c>
      <c r="BU66" s="20">
        <f ca="1">IFERROR(__xludf.DUMMYFUNCTION("+BJ64*$D64"),0)</f>
        <v>0</v>
      </c>
      <c r="BW66" s="20"/>
      <c r="BX66" s="20"/>
      <c r="BY66" s="20">
        <f ca="1">IFERROR(__xludf.DUMMYFUNCTION("+BH64+BI64"),0)</f>
        <v>0</v>
      </c>
      <c r="BZ66" s="20">
        <f ca="1">IFERROR(__xludf.DUMMYFUNCTION("+BJ64*$D64"),0)</f>
        <v>0</v>
      </c>
      <c r="CB66" s="20"/>
      <c r="CC66" s="20"/>
      <c r="CD66" s="20">
        <f ca="1">IFERROR(__xludf.DUMMYFUNCTION("+BH64+BI64"),0)</f>
        <v>0</v>
      </c>
      <c r="CE66" s="20">
        <f ca="1">IFERROR(__xludf.DUMMYFUNCTION("+BJ64*$D64"),0)</f>
        <v>0</v>
      </c>
      <c r="CG66" s="20"/>
      <c r="CH66" s="20"/>
      <c r="CI66" s="20">
        <f ca="1">IFERROR(__xludf.DUMMYFUNCTION("+BH64+BI64"),0)</f>
        <v>0</v>
      </c>
      <c r="CJ66" s="20">
        <f ca="1">IFERROR(__xludf.DUMMYFUNCTION("+BJ64*$D64"),0)</f>
        <v>0</v>
      </c>
      <c r="CL66" s="20"/>
      <c r="CM66" s="20"/>
      <c r="CN66" s="20">
        <f ca="1">IFERROR(__xludf.DUMMYFUNCTION("+BH64+BI64"),0)</f>
        <v>0</v>
      </c>
      <c r="CO66" s="20">
        <f ca="1">IFERROR(__xludf.DUMMYFUNCTION("+BJ64*$D64"),0)</f>
        <v>0</v>
      </c>
      <c r="CQ66" s="138">
        <f t="shared" ca="1" si="53"/>
        <v>101150</v>
      </c>
    </row>
    <row r="67" spans="1:95" ht="15.75" customHeight="1" x14ac:dyDescent="0.2">
      <c r="A67" s="46" t="s">
        <v>96</v>
      </c>
      <c r="B67" s="47" t="s">
        <v>78</v>
      </c>
      <c r="C67" s="47">
        <v>5</v>
      </c>
      <c r="D67" s="16">
        <f ca="1">IFERROR(__xludf.DUMMYFUNCTION("+C65*$B$2"),400)</f>
        <v>400</v>
      </c>
      <c r="E67" s="20">
        <v>45700</v>
      </c>
      <c r="F67" s="20">
        <v>228500</v>
      </c>
      <c r="G67" s="18">
        <f ca="1">IFERROR(__xludf.DUMMYFUNCTION("+E65*D65"),18280000)</f>
        <v>18280000</v>
      </c>
      <c r="H67" s="48"/>
      <c r="J67" s="20"/>
      <c r="K67" s="20"/>
      <c r="L67" s="20">
        <f ca="1">IFERROR(__xludf.DUMMYFUNCTION("+J65+K65"),0)</f>
        <v>0</v>
      </c>
      <c r="M67" s="20">
        <f ca="1">IFERROR(__xludf.DUMMYFUNCTION("+L65*$D65"),0)</f>
        <v>0</v>
      </c>
      <c r="O67" s="20"/>
      <c r="P67" s="20"/>
      <c r="Q67" s="20">
        <f ca="1">IFERROR(__xludf.DUMMYFUNCTION("+O65+P65"),0)</f>
        <v>0</v>
      </c>
      <c r="R67" s="20">
        <f ca="1">IFERROR(__xludf.DUMMYFUNCTION("+Q65*$D65"),0)</f>
        <v>0</v>
      </c>
      <c r="T67" s="20"/>
      <c r="U67" s="20"/>
      <c r="V67" s="20">
        <f ca="1">IFERROR(__xludf.DUMMYFUNCTION("+T65+U65"),0)</f>
        <v>0</v>
      </c>
      <c r="W67" s="20">
        <f ca="1">IFERROR(__xludf.DUMMYFUNCTION("+V65*$D65"),0)</f>
        <v>0</v>
      </c>
      <c r="Y67" s="20"/>
      <c r="Z67" s="20"/>
      <c r="AA67" s="20">
        <f ca="1">IFERROR(__xludf.DUMMYFUNCTION("+Y65+Z65"),0)</f>
        <v>0</v>
      </c>
      <c r="AB67" s="20">
        <f ca="1">IFERROR(__xludf.DUMMYFUNCTION("+AA65*$D65"),0)</f>
        <v>0</v>
      </c>
      <c r="AD67" s="20">
        <v>45950</v>
      </c>
      <c r="AE67" s="20">
        <f ca="1">IFERROR(__xludf.DUMMYFUNCTION("+AD65*19%"),8730.5)</f>
        <v>8730.5</v>
      </c>
      <c r="AF67" s="20">
        <f ca="1">IFERROR(__xludf.DUMMYFUNCTION("+AD65+AE65"),54680.5)</f>
        <v>54680.5</v>
      </c>
      <c r="AG67" s="20">
        <f ca="1">IFERROR(__xludf.DUMMYFUNCTION("+AF65*$D65"),21872200)</f>
        <v>21872200</v>
      </c>
      <c r="AI67" s="20"/>
      <c r="AJ67" s="20"/>
      <c r="AK67" s="20">
        <f ca="1">IFERROR(__xludf.DUMMYFUNCTION("+AI65+AJ65"),0)</f>
        <v>0</v>
      </c>
      <c r="AL67" s="20">
        <f ca="1">IFERROR(__xludf.DUMMYFUNCTION("+AK65*$D65"),0)</f>
        <v>0</v>
      </c>
      <c r="AM67" s="49"/>
      <c r="AN67" s="20"/>
      <c r="AO67" s="20"/>
      <c r="AP67" s="20">
        <f ca="1">IFERROR(__xludf.DUMMYFUNCTION("+AN65+AO65"),0)</f>
        <v>0</v>
      </c>
      <c r="AQ67" s="20">
        <f ca="1">IFERROR(__xludf.DUMMYFUNCTION("+AP65*$D65"),0)</f>
        <v>0</v>
      </c>
      <c r="AS67" s="20"/>
      <c r="AT67" s="20"/>
      <c r="AU67" s="20">
        <f ca="1">IFERROR(__xludf.DUMMYFUNCTION("+AS65+AT65"),0)</f>
        <v>0</v>
      </c>
      <c r="AV67" s="20">
        <f ca="1">IFERROR(__xludf.DUMMYFUNCTION("+AU65*$D65"),0)</f>
        <v>0</v>
      </c>
      <c r="AX67" s="20"/>
      <c r="AY67" s="20"/>
      <c r="AZ67" s="20">
        <f ca="1">IFERROR(__xludf.DUMMYFUNCTION("+AX65+AY65"),0)</f>
        <v>0</v>
      </c>
      <c r="BA67" s="20">
        <f ca="1">IFERROR(__xludf.DUMMYFUNCTION("+AZ65*$D65"),0)</f>
        <v>0</v>
      </c>
      <c r="BC67" s="20"/>
      <c r="BD67" s="20"/>
      <c r="BE67" s="20">
        <f ca="1">IFERROR(__xludf.DUMMYFUNCTION("+BC65+BD65"),0)</f>
        <v>0</v>
      </c>
      <c r="BF67" s="20">
        <f ca="1">IFERROR(__xludf.DUMMYFUNCTION("+BE65*$D65"),0)</f>
        <v>0</v>
      </c>
      <c r="BH67" s="20"/>
      <c r="BI67" s="20"/>
      <c r="BJ67" s="20">
        <f ca="1">IFERROR(__xludf.DUMMYFUNCTION("+BH65+BI65"),0)</f>
        <v>0</v>
      </c>
      <c r="BK67" s="20">
        <f ca="1">IFERROR(__xludf.DUMMYFUNCTION("+BJ65*$D65"),0)</f>
        <v>0</v>
      </c>
      <c r="BM67" s="20"/>
      <c r="BN67" s="20"/>
      <c r="BO67" s="20">
        <f ca="1">IFERROR(__xludf.DUMMYFUNCTION("+BH65+BI65"),0)</f>
        <v>0</v>
      </c>
      <c r="BP67" s="20">
        <f ca="1">IFERROR(__xludf.DUMMYFUNCTION("+BJ65*$D65"),0)</f>
        <v>0</v>
      </c>
      <c r="BR67" s="20"/>
      <c r="BS67" s="20"/>
      <c r="BT67" s="20">
        <f ca="1">IFERROR(__xludf.DUMMYFUNCTION("+BH65+BI65"),0)</f>
        <v>0</v>
      </c>
      <c r="BU67" s="20">
        <f ca="1">IFERROR(__xludf.DUMMYFUNCTION("+BJ65*$D65"),0)</f>
        <v>0</v>
      </c>
      <c r="BW67" s="20"/>
      <c r="BX67" s="20"/>
      <c r="BY67" s="20">
        <f ca="1">IFERROR(__xludf.DUMMYFUNCTION("+BH65+BI65"),0)</f>
        <v>0</v>
      </c>
      <c r="BZ67" s="20">
        <f ca="1">IFERROR(__xludf.DUMMYFUNCTION("+BJ65*$D65"),0)</f>
        <v>0</v>
      </c>
      <c r="CB67" s="20"/>
      <c r="CC67" s="20"/>
      <c r="CD67" s="20">
        <f ca="1">IFERROR(__xludf.DUMMYFUNCTION("+BH65+BI65"),0)</f>
        <v>0</v>
      </c>
      <c r="CE67" s="20">
        <f ca="1">IFERROR(__xludf.DUMMYFUNCTION("+BJ65*$D65"),0)</f>
        <v>0</v>
      </c>
      <c r="CG67" s="20"/>
      <c r="CH67" s="20"/>
      <c r="CI67" s="20">
        <f ca="1">IFERROR(__xludf.DUMMYFUNCTION("+BH65+BI65"),0)</f>
        <v>0</v>
      </c>
      <c r="CJ67" s="20">
        <f ca="1">IFERROR(__xludf.DUMMYFUNCTION("+BJ65*$D65"),0)</f>
        <v>0</v>
      </c>
      <c r="CL67" s="20"/>
      <c r="CM67" s="20"/>
      <c r="CN67" s="20">
        <f ca="1">IFERROR(__xludf.DUMMYFUNCTION("+BH65+BI65"),0)</f>
        <v>0</v>
      </c>
      <c r="CO67" s="20">
        <f ca="1">IFERROR(__xludf.DUMMYFUNCTION("+BJ65*$D65"),0)</f>
        <v>0</v>
      </c>
      <c r="CQ67" s="138">
        <f t="shared" ca="1" si="53"/>
        <v>54680.5</v>
      </c>
    </row>
    <row r="68" spans="1:95" ht="15.75" customHeight="1" x14ac:dyDescent="0.2">
      <c r="A68" s="46" t="s">
        <v>97</v>
      </c>
      <c r="B68" s="47" t="s">
        <v>78</v>
      </c>
      <c r="C68" s="47">
        <v>0.5</v>
      </c>
      <c r="D68" s="16">
        <f ca="1">IFERROR(__xludf.DUMMYFUNCTION("+C66*$B$2"),40)</f>
        <v>40</v>
      </c>
      <c r="E68" s="20">
        <v>40827.71</v>
      </c>
      <c r="F68" s="20">
        <v>20413.855</v>
      </c>
      <c r="G68" s="18">
        <f ca="1">IFERROR(__xludf.DUMMYFUNCTION("+E66*D66"),1633108.4)</f>
        <v>1633108.4</v>
      </c>
      <c r="H68" s="48"/>
      <c r="J68" s="20"/>
      <c r="K68" s="20"/>
      <c r="L68" s="20">
        <f ca="1">IFERROR(__xludf.DUMMYFUNCTION("+J66+K66"),0)</f>
        <v>0</v>
      </c>
      <c r="M68" s="20">
        <f ca="1">IFERROR(__xludf.DUMMYFUNCTION("+L66*$D66"),0)</f>
        <v>0</v>
      </c>
      <c r="O68" s="20"/>
      <c r="P68" s="20"/>
      <c r="Q68" s="20">
        <f ca="1">IFERROR(__xludf.DUMMYFUNCTION("+O66+P66"),0)</f>
        <v>0</v>
      </c>
      <c r="R68" s="20">
        <f ca="1">IFERROR(__xludf.DUMMYFUNCTION("+Q66*$D66"),0)</f>
        <v>0</v>
      </c>
      <c r="T68" s="20"/>
      <c r="U68" s="20"/>
      <c r="V68" s="20">
        <f ca="1">IFERROR(__xludf.DUMMYFUNCTION("+T66+U66"),0)</f>
        <v>0</v>
      </c>
      <c r="W68" s="20">
        <f ca="1">IFERROR(__xludf.DUMMYFUNCTION("+V66*$D66"),0)</f>
        <v>0</v>
      </c>
      <c r="Y68" s="20"/>
      <c r="Z68" s="20"/>
      <c r="AA68" s="20">
        <f ca="1">IFERROR(__xludf.DUMMYFUNCTION("+Y66+Z66"),0)</f>
        <v>0</v>
      </c>
      <c r="AB68" s="20">
        <f ca="1">IFERROR(__xludf.DUMMYFUNCTION("+AA66*$D66"),0)</f>
        <v>0</v>
      </c>
      <c r="AD68" s="20">
        <v>45950</v>
      </c>
      <c r="AE68" s="20">
        <f ca="1">IFERROR(__xludf.DUMMYFUNCTION("+AD66*19%"),8730.5)</f>
        <v>8730.5</v>
      </c>
      <c r="AF68" s="20">
        <f ca="1">IFERROR(__xludf.DUMMYFUNCTION("+AD66+AE66"),54680.5)</f>
        <v>54680.5</v>
      </c>
      <c r="AG68" s="20">
        <f ca="1">IFERROR(__xludf.DUMMYFUNCTION("+AF66*$D66"),2187220)</f>
        <v>2187220</v>
      </c>
      <c r="AI68" s="20"/>
      <c r="AJ68" s="20"/>
      <c r="AK68" s="20">
        <f ca="1">IFERROR(__xludf.DUMMYFUNCTION("+AI66+AJ66"),0)</f>
        <v>0</v>
      </c>
      <c r="AL68" s="20">
        <f ca="1">IFERROR(__xludf.DUMMYFUNCTION("+AK66*$D66"),0)</f>
        <v>0</v>
      </c>
      <c r="AM68" s="49"/>
      <c r="AN68" s="20"/>
      <c r="AO68" s="20"/>
      <c r="AP68" s="20">
        <f ca="1">IFERROR(__xludf.DUMMYFUNCTION("+AN66+AO66"),0)</f>
        <v>0</v>
      </c>
      <c r="AQ68" s="20">
        <f ca="1">IFERROR(__xludf.DUMMYFUNCTION("+AP66*$D66"),0)</f>
        <v>0</v>
      </c>
      <c r="AS68" s="20"/>
      <c r="AT68" s="20"/>
      <c r="AU68" s="20">
        <f ca="1">IFERROR(__xludf.DUMMYFUNCTION("+AS66+AT66"),0)</f>
        <v>0</v>
      </c>
      <c r="AV68" s="20">
        <f ca="1">IFERROR(__xludf.DUMMYFUNCTION("+AU66*$D66"),0)</f>
        <v>0</v>
      </c>
      <c r="AX68" s="20"/>
      <c r="AY68" s="20"/>
      <c r="AZ68" s="20">
        <f ca="1">IFERROR(__xludf.DUMMYFUNCTION("+AX66+AY66"),0)</f>
        <v>0</v>
      </c>
      <c r="BA68" s="20">
        <f ca="1">IFERROR(__xludf.DUMMYFUNCTION("+AZ66*$D66"),0)</f>
        <v>0</v>
      </c>
      <c r="BC68" s="20"/>
      <c r="BD68" s="20"/>
      <c r="BE68" s="20">
        <f ca="1">IFERROR(__xludf.DUMMYFUNCTION("+BC66+BD66"),0)</f>
        <v>0</v>
      </c>
      <c r="BF68" s="20">
        <f ca="1">IFERROR(__xludf.DUMMYFUNCTION("+BE66*$D66"),0)</f>
        <v>0</v>
      </c>
      <c r="BH68" s="20"/>
      <c r="BI68" s="20"/>
      <c r="BJ68" s="20">
        <f ca="1">IFERROR(__xludf.DUMMYFUNCTION("+BH66+BI66"),0)</f>
        <v>0</v>
      </c>
      <c r="BK68" s="20">
        <f ca="1">IFERROR(__xludf.DUMMYFUNCTION("+BJ66*$D66"),0)</f>
        <v>0</v>
      </c>
      <c r="BM68" s="20"/>
      <c r="BN68" s="20"/>
      <c r="BO68" s="20">
        <f ca="1">IFERROR(__xludf.DUMMYFUNCTION("+BH66+BI66"),0)</f>
        <v>0</v>
      </c>
      <c r="BP68" s="20">
        <f ca="1">IFERROR(__xludf.DUMMYFUNCTION("+BJ66*$D66"),0)</f>
        <v>0</v>
      </c>
      <c r="BR68" s="20"/>
      <c r="BS68" s="20"/>
      <c r="BT68" s="20">
        <f ca="1">IFERROR(__xludf.DUMMYFUNCTION("+BH66+BI66"),0)</f>
        <v>0</v>
      </c>
      <c r="BU68" s="20">
        <f ca="1">IFERROR(__xludf.DUMMYFUNCTION("+BJ66*$D66"),0)</f>
        <v>0</v>
      </c>
      <c r="BW68" s="20"/>
      <c r="BX68" s="20"/>
      <c r="BY68" s="20">
        <f ca="1">IFERROR(__xludf.DUMMYFUNCTION("+BH66+BI66"),0)</f>
        <v>0</v>
      </c>
      <c r="BZ68" s="20">
        <f ca="1">IFERROR(__xludf.DUMMYFUNCTION("+BJ66*$D66"),0)</f>
        <v>0</v>
      </c>
      <c r="CB68" s="20"/>
      <c r="CC68" s="20"/>
      <c r="CD68" s="20">
        <f ca="1">IFERROR(__xludf.DUMMYFUNCTION("+BH66+BI66"),0)</f>
        <v>0</v>
      </c>
      <c r="CE68" s="20">
        <f ca="1">IFERROR(__xludf.DUMMYFUNCTION("+BJ66*$D66"),0)</f>
        <v>0</v>
      </c>
      <c r="CG68" s="20"/>
      <c r="CH68" s="20"/>
      <c r="CI68" s="20">
        <f ca="1">IFERROR(__xludf.DUMMYFUNCTION("+BH66+BI66"),0)</f>
        <v>0</v>
      </c>
      <c r="CJ68" s="20">
        <f ca="1">IFERROR(__xludf.DUMMYFUNCTION("+BJ66*$D66"),0)</f>
        <v>0</v>
      </c>
      <c r="CL68" s="20"/>
      <c r="CM68" s="20"/>
      <c r="CN68" s="20">
        <f ca="1">IFERROR(__xludf.DUMMYFUNCTION("+BH66+BI66"),0)</f>
        <v>0</v>
      </c>
      <c r="CO68" s="20">
        <f ca="1">IFERROR(__xludf.DUMMYFUNCTION("+BJ66*$D66"),0)</f>
        <v>0</v>
      </c>
      <c r="CQ68" s="138">
        <f t="shared" ca="1" si="53"/>
        <v>54680.5</v>
      </c>
    </row>
    <row r="69" spans="1:95" ht="15.75" customHeight="1" x14ac:dyDescent="0.2">
      <c r="A69" s="46" t="s">
        <v>98</v>
      </c>
      <c r="B69" s="47" t="s">
        <v>78</v>
      </c>
      <c r="C69" s="47">
        <v>1</v>
      </c>
      <c r="D69" s="16">
        <f ca="1">IFERROR(__xludf.DUMMYFUNCTION("+C67*$B$2"),80)</f>
        <v>80</v>
      </c>
      <c r="E69" s="20">
        <v>1692.18</v>
      </c>
      <c r="F69" s="20">
        <v>1692.18</v>
      </c>
      <c r="G69" s="18">
        <f ca="1">IFERROR(__xludf.DUMMYFUNCTION("+E67*D67"),135374.4)</f>
        <v>135374.39999999999</v>
      </c>
      <c r="H69" s="48"/>
      <c r="J69" s="20"/>
      <c r="K69" s="20"/>
      <c r="L69" s="20">
        <f ca="1">IFERROR(__xludf.DUMMYFUNCTION("+J67+K67"),0)</f>
        <v>0</v>
      </c>
      <c r="M69" s="20">
        <f ca="1">IFERROR(__xludf.DUMMYFUNCTION("+L67*$D67"),0)</f>
        <v>0</v>
      </c>
      <c r="O69" s="20"/>
      <c r="P69" s="20"/>
      <c r="Q69" s="20">
        <f ca="1">IFERROR(__xludf.DUMMYFUNCTION("+O67+P67"),0)</f>
        <v>0</v>
      </c>
      <c r="R69" s="20">
        <f ca="1">IFERROR(__xludf.DUMMYFUNCTION("+Q67*$D67"),0)</f>
        <v>0</v>
      </c>
      <c r="T69" s="20"/>
      <c r="U69" s="20"/>
      <c r="V69" s="20">
        <f ca="1">IFERROR(__xludf.DUMMYFUNCTION("+T67+U67"),0)</f>
        <v>0</v>
      </c>
      <c r="W69" s="20">
        <f ca="1">IFERROR(__xludf.DUMMYFUNCTION("+V67*$D67"),0)</f>
        <v>0</v>
      </c>
      <c r="Y69" s="20"/>
      <c r="Z69" s="20"/>
      <c r="AA69" s="20">
        <f ca="1">IFERROR(__xludf.DUMMYFUNCTION("+Y67+Z67"),0)</f>
        <v>0</v>
      </c>
      <c r="AB69" s="20">
        <f ca="1">IFERROR(__xludf.DUMMYFUNCTION("+AA67*$D67"),0)</f>
        <v>0</v>
      </c>
      <c r="AD69" s="20">
        <v>1690</v>
      </c>
      <c r="AE69" s="20">
        <f ca="1">IFERROR(__xludf.DUMMYFUNCTION("+AD67*19%"),321.1)</f>
        <v>321.10000000000002</v>
      </c>
      <c r="AF69" s="20">
        <f ca="1">IFERROR(__xludf.DUMMYFUNCTION("+AD67+AE67"),2011.1)</f>
        <v>2011.1</v>
      </c>
      <c r="AG69" s="20">
        <f ca="1">IFERROR(__xludf.DUMMYFUNCTION("+AF67*$D67"),160888)</f>
        <v>160888</v>
      </c>
      <c r="AI69" s="20"/>
      <c r="AJ69" s="20"/>
      <c r="AK69" s="20">
        <f ca="1">IFERROR(__xludf.DUMMYFUNCTION("+AI67+AJ67"),0)</f>
        <v>0</v>
      </c>
      <c r="AL69" s="20">
        <f ca="1">IFERROR(__xludf.DUMMYFUNCTION("+AK67*$D67"),0)</f>
        <v>0</v>
      </c>
      <c r="AM69" s="49"/>
      <c r="AN69" s="20"/>
      <c r="AO69" s="20"/>
      <c r="AP69" s="20">
        <f ca="1">IFERROR(__xludf.DUMMYFUNCTION("+AN67+AO67"),0)</f>
        <v>0</v>
      </c>
      <c r="AQ69" s="20">
        <f ca="1">IFERROR(__xludf.DUMMYFUNCTION("+AP67*$D67"),0)</f>
        <v>0</v>
      </c>
      <c r="AS69" s="20"/>
      <c r="AT69" s="20"/>
      <c r="AU69" s="20">
        <f ca="1">IFERROR(__xludf.DUMMYFUNCTION("+AS67+AT67"),0)</f>
        <v>0</v>
      </c>
      <c r="AV69" s="20">
        <f ca="1">IFERROR(__xludf.DUMMYFUNCTION("+AU67*$D67"),0)</f>
        <v>0</v>
      </c>
      <c r="AX69" s="20"/>
      <c r="AY69" s="20"/>
      <c r="AZ69" s="20">
        <f ca="1">IFERROR(__xludf.DUMMYFUNCTION("+AX67+AY67"),0)</f>
        <v>0</v>
      </c>
      <c r="BA69" s="20">
        <f ca="1">IFERROR(__xludf.DUMMYFUNCTION("+AZ67*$D67"),0)</f>
        <v>0</v>
      </c>
      <c r="BC69" s="20"/>
      <c r="BD69" s="20"/>
      <c r="BE69" s="20">
        <f ca="1">IFERROR(__xludf.DUMMYFUNCTION("+BC67+BD67"),0)</f>
        <v>0</v>
      </c>
      <c r="BF69" s="20">
        <f ca="1">IFERROR(__xludf.DUMMYFUNCTION("+BE67*$D67"),0)</f>
        <v>0</v>
      </c>
      <c r="BH69" s="20"/>
      <c r="BI69" s="20"/>
      <c r="BJ69" s="20">
        <f ca="1">IFERROR(__xludf.DUMMYFUNCTION("+BH67+BI67"),0)</f>
        <v>0</v>
      </c>
      <c r="BK69" s="20">
        <f ca="1">IFERROR(__xludf.DUMMYFUNCTION("+BJ67*$D67"),0)</f>
        <v>0</v>
      </c>
      <c r="BM69" s="20"/>
      <c r="BN69" s="20"/>
      <c r="BO69" s="20">
        <f ca="1">IFERROR(__xludf.DUMMYFUNCTION("+BH67+BI67"),0)</f>
        <v>0</v>
      </c>
      <c r="BP69" s="20">
        <f ca="1">IFERROR(__xludf.DUMMYFUNCTION("+BJ67*$D67"),0)</f>
        <v>0</v>
      </c>
      <c r="BR69" s="20"/>
      <c r="BS69" s="20"/>
      <c r="BT69" s="20">
        <f ca="1">IFERROR(__xludf.DUMMYFUNCTION("+BH67+BI67"),0)</f>
        <v>0</v>
      </c>
      <c r="BU69" s="20">
        <f ca="1">IFERROR(__xludf.DUMMYFUNCTION("+BJ67*$D67"),0)</f>
        <v>0</v>
      </c>
      <c r="BW69" s="20"/>
      <c r="BX69" s="20"/>
      <c r="BY69" s="20">
        <f ca="1">IFERROR(__xludf.DUMMYFUNCTION("+BH67+BI67"),0)</f>
        <v>0</v>
      </c>
      <c r="BZ69" s="20">
        <f ca="1">IFERROR(__xludf.DUMMYFUNCTION("+BJ67*$D67"),0)</f>
        <v>0</v>
      </c>
      <c r="CB69" s="20"/>
      <c r="CC69" s="20"/>
      <c r="CD69" s="20">
        <f ca="1">IFERROR(__xludf.DUMMYFUNCTION("+BH67+BI67"),0)</f>
        <v>0</v>
      </c>
      <c r="CE69" s="20">
        <f ca="1">IFERROR(__xludf.DUMMYFUNCTION("+BJ67*$D67"),0)</f>
        <v>0</v>
      </c>
      <c r="CG69" s="20"/>
      <c r="CH69" s="20"/>
      <c r="CI69" s="20">
        <f ca="1">IFERROR(__xludf.DUMMYFUNCTION("+BH67+BI67"),0)</f>
        <v>0</v>
      </c>
      <c r="CJ69" s="20">
        <f ca="1">IFERROR(__xludf.DUMMYFUNCTION("+BJ67*$D67"),0)</f>
        <v>0</v>
      </c>
      <c r="CL69" s="20"/>
      <c r="CM69" s="20"/>
      <c r="CN69" s="20">
        <f ca="1">IFERROR(__xludf.DUMMYFUNCTION("+BH67+BI67"),0)</f>
        <v>0</v>
      </c>
      <c r="CO69" s="20">
        <f ca="1">IFERROR(__xludf.DUMMYFUNCTION("+BJ67*$D67"),0)</f>
        <v>0</v>
      </c>
      <c r="CQ69" s="138">
        <f t="shared" ca="1" si="53"/>
        <v>2011.1</v>
      </c>
    </row>
    <row r="70" spans="1:95" ht="15.75" customHeight="1" x14ac:dyDescent="0.2">
      <c r="A70" s="46" t="s">
        <v>99</v>
      </c>
      <c r="B70" s="47" t="s">
        <v>78</v>
      </c>
      <c r="C70" s="47">
        <v>0.5</v>
      </c>
      <c r="D70" s="16">
        <f ca="1">IFERROR(__xludf.DUMMYFUNCTION("+C68*$B$2"),40)</f>
        <v>40</v>
      </c>
      <c r="E70" s="20">
        <v>7735</v>
      </c>
      <c r="F70" s="20">
        <v>3867.5</v>
      </c>
      <c r="G70" s="18">
        <f ca="1">IFERROR(__xludf.DUMMYFUNCTION("+E68*D68"),309400)</f>
        <v>309400</v>
      </c>
      <c r="H70" s="48"/>
      <c r="J70" s="20"/>
      <c r="K70" s="20"/>
      <c r="L70" s="20">
        <f ca="1">IFERROR(__xludf.DUMMYFUNCTION("+J68+K68"),0)</f>
        <v>0</v>
      </c>
      <c r="M70" s="20">
        <f ca="1">IFERROR(__xludf.DUMMYFUNCTION("+L68*$D68"),0)</f>
        <v>0</v>
      </c>
      <c r="O70" s="20"/>
      <c r="P70" s="20"/>
      <c r="Q70" s="20">
        <f ca="1">IFERROR(__xludf.DUMMYFUNCTION("+O68+P68"),0)</f>
        <v>0</v>
      </c>
      <c r="R70" s="20">
        <f ca="1">IFERROR(__xludf.DUMMYFUNCTION("+Q68*$D68"),0)</f>
        <v>0</v>
      </c>
      <c r="T70" s="20"/>
      <c r="U70" s="20"/>
      <c r="V70" s="20">
        <f ca="1">IFERROR(__xludf.DUMMYFUNCTION("+T68+U68"),0)</f>
        <v>0</v>
      </c>
      <c r="W70" s="20">
        <f ca="1">IFERROR(__xludf.DUMMYFUNCTION("+V68*$D68"),0)</f>
        <v>0</v>
      </c>
      <c r="Y70" s="20"/>
      <c r="Z70" s="20"/>
      <c r="AA70" s="20">
        <f ca="1">IFERROR(__xludf.DUMMYFUNCTION("+Y68+Z68"),0)</f>
        <v>0</v>
      </c>
      <c r="AB70" s="20">
        <f ca="1">IFERROR(__xludf.DUMMYFUNCTION("+AA68*$D68"),0)</f>
        <v>0</v>
      </c>
      <c r="AD70" s="20">
        <v>5000</v>
      </c>
      <c r="AE70" s="20">
        <f ca="1">IFERROR(__xludf.DUMMYFUNCTION("+AD68*19%"),950)</f>
        <v>950</v>
      </c>
      <c r="AF70" s="20">
        <f ca="1">IFERROR(__xludf.DUMMYFUNCTION("+AD68+AE68"),5950)</f>
        <v>5950</v>
      </c>
      <c r="AG70" s="20">
        <f ca="1">IFERROR(__xludf.DUMMYFUNCTION("+AF68*$D68"),238000)</f>
        <v>238000</v>
      </c>
      <c r="AI70" s="20"/>
      <c r="AJ70" s="20"/>
      <c r="AK70" s="20">
        <f ca="1">IFERROR(__xludf.DUMMYFUNCTION("+AI68+AJ68"),0)</f>
        <v>0</v>
      </c>
      <c r="AL70" s="20">
        <f ca="1">IFERROR(__xludf.DUMMYFUNCTION("+AK68*$D68"),0)</f>
        <v>0</v>
      </c>
      <c r="AM70" s="49"/>
      <c r="AN70" s="20"/>
      <c r="AO70" s="20"/>
      <c r="AP70" s="20">
        <f ca="1">IFERROR(__xludf.DUMMYFUNCTION("+AN68+AO68"),0)</f>
        <v>0</v>
      </c>
      <c r="AQ70" s="20">
        <f ca="1">IFERROR(__xludf.DUMMYFUNCTION("+AP68*$D68"),0)</f>
        <v>0</v>
      </c>
      <c r="AS70" s="20"/>
      <c r="AT70" s="20"/>
      <c r="AU70" s="20">
        <f ca="1">IFERROR(__xludf.DUMMYFUNCTION("+AS68+AT68"),0)</f>
        <v>0</v>
      </c>
      <c r="AV70" s="20">
        <f ca="1">IFERROR(__xludf.DUMMYFUNCTION("+AU68*$D68"),0)</f>
        <v>0</v>
      </c>
      <c r="AX70" s="20"/>
      <c r="AY70" s="20"/>
      <c r="AZ70" s="20">
        <f ca="1">IFERROR(__xludf.DUMMYFUNCTION("+AX68+AY68"),0)</f>
        <v>0</v>
      </c>
      <c r="BA70" s="20">
        <f ca="1">IFERROR(__xludf.DUMMYFUNCTION("+AZ68*$D68"),0)</f>
        <v>0</v>
      </c>
      <c r="BC70" s="20"/>
      <c r="BD70" s="20"/>
      <c r="BE70" s="20">
        <f ca="1">IFERROR(__xludf.DUMMYFUNCTION("+BC68+BD68"),0)</f>
        <v>0</v>
      </c>
      <c r="BF70" s="20">
        <f ca="1">IFERROR(__xludf.DUMMYFUNCTION("+BE68*$D68"),0)</f>
        <v>0</v>
      </c>
      <c r="BH70" s="20"/>
      <c r="BI70" s="20"/>
      <c r="BJ70" s="20">
        <f ca="1">IFERROR(__xludf.DUMMYFUNCTION("+BH68+BI68"),0)</f>
        <v>0</v>
      </c>
      <c r="BK70" s="20">
        <f ca="1">IFERROR(__xludf.DUMMYFUNCTION("+BJ68*$D68"),0)</f>
        <v>0</v>
      </c>
      <c r="BL70" s="50"/>
      <c r="BM70" s="20"/>
      <c r="BN70" s="20"/>
      <c r="BO70" s="20">
        <f ca="1">IFERROR(__xludf.DUMMYFUNCTION("+BH68+BI68"),0)</f>
        <v>0</v>
      </c>
      <c r="BP70" s="20">
        <f ca="1">IFERROR(__xludf.DUMMYFUNCTION("+BJ68*$D68"),0)</f>
        <v>0</v>
      </c>
      <c r="BR70" s="20"/>
      <c r="BS70" s="20"/>
      <c r="BT70" s="20">
        <f ca="1">IFERROR(__xludf.DUMMYFUNCTION("+BH68+BI68"),0)</f>
        <v>0</v>
      </c>
      <c r="BU70" s="20">
        <f ca="1">IFERROR(__xludf.DUMMYFUNCTION("+BJ68*$D68"),0)</f>
        <v>0</v>
      </c>
      <c r="BW70" s="20"/>
      <c r="BX70" s="20"/>
      <c r="BY70" s="20">
        <f ca="1">IFERROR(__xludf.DUMMYFUNCTION("+BH68+BI68"),0)</f>
        <v>0</v>
      </c>
      <c r="BZ70" s="20">
        <f ca="1">IFERROR(__xludf.DUMMYFUNCTION("+BJ68*$D68"),0)</f>
        <v>0</v>
      </c>
      <c r="CB70" s="20"/>
      <c r="CC70" s="20"/>
      <c r="CD70" s="20">
        <f ca="1">IFERROR(__xludf.DUMMYFUNCTION("+BH68+BI68"),0)</f>
        <v>0</v>
      </c>
      <c r="CE70" s="20">
        <f ca="1">IFERROR(__xludf.DUMMYFUNCTION("+BJ68*$D68"),0)</f>
        <v>0</v>
      </c>
      <c r="CG70" s="20"/>
      <c r="CH70" s="20"/>
      <c r="CI70" s="20">
        <f ca="1">IFERROR(__xludf.DUMMYFUNCTION("+BH68+BI68"),0)</f>
        <v>0</v>
      </c>
      <c r="CJ70" s="20">
        <f ca="1">IFERROR(__xludf.DUMMYFUNCTION("+BJ68*$D68"),0)</f>
        <v>0</v>
      </c>
      <c r="CL70" s="20"/>
      <c r="CM70" s="20"/>
      <c r="CN70" s="20">
        <f ca="1">IFERROR(__xludf.DUMMYFUNCTION("+BH68+BI68"),0)</f>
        <v>0</v>
      </c>
      <c r="CO70" s="20">
        <f ca="1">IFERROR(__xludf.DUMMYFUNCTION("+BJ68*$D68"),0)</f>
        <v>0</v>
      </c>
      <c r="CQ70" s="138">
        <f t="shared" ca="1" si="53"/>
        <v>5950</v>
      </c>
    </row>
    <row r="71" spans="1:95" ht="15.75" customHeight="1" x14ac:dyDescent="0.2">
      <c r="A71" s="272" t="s">
        <v>100</v>
      </c>
      <c r="B71" s="273"/>
      <c r="C71" s="273"/>
      <c r="D71" s="273"/>
      <c r="E71" s="273"/>
      <c r="F71" s="273"/>
      <c r="G71" s="273"/>
      <c r="H71" s="274"/>
      <c r="J71" s="10"/>
      <c r="K71" s="11"/>
      <c r="L71" s="11"/>
      <c r="M71" s="12"/>
      <c r="O71" s="10"/>
      <c r="P71" s="11"/>
      <c r="Q71" s="11"/>
      <c r="R71" s="12"/>
      <c r="T71" s="10"/>
      <c r="U71" s="11"/>
      <c r="V71" s="11"/>
      <c r="W71" s="12"/>
      <c r="Y71" s="10"/>
      <c r="Z71" s="11"/>
      <c r="AA71" s="11"/>
      <c r="AB71" s="12"/>
      <c r="AD71" s="10"/>
      <c r="AE71" s="11"/>
      <c r="AF71" s="11"/>
      <c r="AG71" s="12"/>
      <c r="AI71" s="10"/>
      <c r="AJ71" s="11"/>
      <c r="AK71" s="11"/>
      <c r="AL71" s="12"/>
      <c r="AM71" s="45"/>
      <c r="AN71" s="10"/>
      <c r="AO71" s="11"/>
      <c r="AP71" s="11"/>
      <c r="AQ71" s="12"/>
      <c r="AS71" s="10"/>
      <c r="AT71" s="11"/>
      <c r="AU71" s="11"/>
      <c r="AV71" s="12"/>
      <c r="AX71" s="10"/>
      <c r="AY71" s="11"/>
      <c r="AZ71" s="11"/>
      <c r="BA71" s="12"/>
      <c r="BC71" s="10"/>
      <c r="BD71" s="11"/>
      <c r="BE71" s="11"/>
      <c r="BF71" s="12"/>
      <c r="BH71" s="10"/>
      <c r="BI71" s="11"/>
      <c r="BJ71" s="11"/>
      <c r="BK71" s="12"/>
      <c r="BL71" s="50"/>
      <c r="BM71" s="10"/>
      <c r="BN71" s="11"/>
      <c r="BO71" s="11"/>
      <c r="BP71" s="12"/>
      <c r="BR71" s="10"/>
      <c r="BS71" s="11"/>
      <c r="BT71" s="11"/>
      <c r="BU71" s="12"/>
      <c r="BW71" s="10"/>
      <c r="BX71" s="11"/>
      <c r="BY71" s="11"/>
      <c r="BZ71" s="12"/>
      <c r="CB71" s="10"/>
      <c r="CC71" s="11"/>
      <c r="CD71" s="11"/>
      <c r="CE71" s="12"/>
      <c r="CG71" s="10"/>
      <c r="CH71" s="11"/>
      <c r="CI71" s="11"/>
      <c r="CJ71" s="12"/>
      <c r="CL71" s="10"/>
      <c r="CM71" s="11"/>
      <c r="CN71" s="11"/>
      <c r="CO71" s="12"/>
      <c r="CQ71" s="142"/>
    </row>
    <row r="72" spans="1:95" ht="15.75" customHeight="1" x14ac:dyDescent="0.2">
      <c r="A72" s="52" t="s">
        <v>101</v>
      </c>
      <c r="B72" s="53" t="s">
        <v>78</v>
      </c>
      <c r="C72" s="54">
        <v>3</v>
      </c>
      <c r="D72" s="16">
        <f ca="1">IFERROR(__xludf.DUMMYFUNCTION("+C70*$B$2"),240)</f>
        <v>240</v>
      </c>
      <c r="E72" s="55">
        <v>2262.7000000000003</v>
      </c>
      <c r="F72" s="56">
        <v>6788.1</v>
      </c>
      <c r="G72" s="18">
        <f ca="1">IFERROR(__xludf.DUMMYFUNCTION("+E70*D70"),543048)</f>
        <v>543048</v>
      </c>
      <c r="H72" s="38"/>
      <c r="J72" s="20"/>
      <c r="K72" s="20"/>
      <c r="L72" s="20">
        <f ca="1">IFERROR(__xludf.DUMMYFUNCTION("+J70+K70"),0)</f>
        <v>0</v>
      </c>
      <c r="M72" s="20">
        <f ca="1">IFERROR(__xludf.DUMMYFUNCTION("+L70*$D70"),0)</f>
        <v>0</v>
      </c>
      <c r="O72" s="20"/>
      <c r="P72" s="20"/>
      <c r="Q72" s="20">
        <f ca="1">IFERROR(__xludf.DUMMYFUNCTION("+O70+P70"),0)</f>
        <v>0</v>
      </c>
      <c r="R72" s="20">
        <f ca="1">IFERROR(__xludf.DUMMYFUNCTION("+Q70*$D70"),0)</f>
        <v>0</v>
      </c>
      <c r="T72" s="20"/>
      <c r="U72" s="20"/>
      <c r="V72" s="20">
        <f ca="1">IFERROR(__xludf.DUMMYFUNCTION("+T70+U70"),0)</f>
        <v>0</v>
      </c>
      <c r="W72" s="20">
        <f ca="1">IFERROR(__xludf.DUMMYFUNCTION("+V70*$D70"),0)</f>
        <v>0</v>
      </c>
      <c r="Y72" s="20">
        <v>996</v>
      </c>
      <c r="Z72" s="20">
        <f ca="1">IFERROR(__xludf.DUMMYFUNCTION("+Y70*19%"),189.24)</f>
        <v>189.24</v>
      </c>
      <c r="AA72" s="20">
        <f ca="1">IFERROR(__xludf.DUMMYFUNCTION("+Y70+Z70"),1185.24)</f>
        <v>1185.24</v>
      </c>
      <c r="AB72" s="20">
        <f ca="1">IFERROR(__xludf.DUMMYFUNCTION("+AA70*$D70"),284457.6)</f>
        <v>284457.59999999998</v>
      </c>
      <c r="AD72" s="20">
        <v>1890</v>
      </c>
      <c r="AE72" s="20">
        <f ca="1">IFERROR(__xludf.DUMMYFUNCTION("+AD70*19%"),359.1)</f>
        <v>359.1</v>
      </c>
      <c r="AF72" s="20">
        <f ca="1">IFERROR(__xludf.DUMMYFUNCTION("+AD70+AE70"),2249.1)</f>
        <v>2249.1</v>
      </c>
      <c r="AG72" s="20">
        <f ca="1">IFERROR(__xludf.DUMMYFUNCTION("+AF70*$D70"),539784)</f>
        <v>539784</v>
      </c>
      <c r="AI72" s="20">
        <v>905.2</v>
      </c>
      <c r="AJ72" s="20">
        <f ca="1">IFERROR(__xludf.DUMMYFUNCTION("+AI70*19%"),171.988)</f>
        <v>171.988</v>
      </c>
      <c r="AK72" s="20">
        <f ca="1">IFERROR(__xludf.DUMMYFUNCTION("+AI70+AJ70"),1077.188)</f>
        <v>1077.1880000000001</v>
      </c>
      <c r="AL72" s="20">
        <f ca="1">IFERROR(__xludf.DUMMYFUNCTION("+AK70*$D70"),258525.12)</f>
        <v>258525.12</v>
      </c>
      <c r="AN72" s="20"/>
      <c r="AO72" s="20"/>
      <c r="AP72" s="20">
        <f ca="1">IFERROR(__xludf.DUMMYFUNCTION("+AN70+AO70"),0)</f>
        <v>0</v>
      </c>
      <c r="AQ72" s="20">
        <f ca="1">IFERROR(__xludf.DUMMYFUNCTION("+AP70*$D70"),0)</f>
        <v>0</v>
      </c>
      <c r="AS72" s="20"/>
      <c r="AT72" s="20"/>
      <c r="AU72" s="20">
        <f ca="1">IFERROR(__xludf.DUMMYFUNCTION("+AS70+AT70"),0)</f>
        <v>0</v>
      </c>
      <c r="AV72" s="20">
        <f ca="1">IFERROR(__xludf.DUMMYFUNCTION("+AU70*$D70"),0)</f>
        <v>0</v>
      </c>
      <c r="AX72" s="20"/>
      <c r="AY72" s="20"/>
      <c r="AZ72" s="20">
        <f ca="1">IFERROR(__xludf.DUMMYFUNCTION("+AX70+AY70"),0)</f>
        <v>0</v>
      </c>
      <c r="BA72" s="20">
        <f ca="1">IFERROR(__xludf.DUMMYFUNCTION("+AZ70*$D70"),0)</f>
        <v>0</v>
      </c>
      <c r="BC72" s="20"/>
      <c r="BD72" s="20"/>
      <c r="BE72" s="20">
        <f ca="1">IFERROR(__xludf.DUMMYFUNCTION("+BC70+BD70"),0)</f>
        <v>0</v>
      </c>
      <c r="BF72" s="20">
        <f ca="1">IFERROR(__xludf.DUMMYFUNCTION("+BE70*$D70"),0)</f>
        <v>0</v>
      </c>
      <c r="BH72" s="20"/>
      <c r="BI72" s="20"/>
      <c r="BJ72" s="20">
        <f ca="1">IFERROR(__xludf.DUMMYFUNCTION("+BH70+BI70"),0)</f>
        <v>0</v>
      </c>
      <c r="BK72" s="20">
        <f ca="1">IFERROR(__xludf.DUMMYFUNCTION("+BJ70*$D70"),0)</f>
        <v>0</v>
      </c>
      <c r="BL72" s="50"/>
      <c r="BM72" s="20"/>
      <c r="BN72" s="20"/>
      <c r="BO72" s="20">
        <f ca="1">IFERROR(__xludf.DUMMYFUNCTION("+BH70+BI70"),0)</f>
        <v>0</v>
      </c>
      <c r="BP72" s="20">
        <f ca="1">IFERROR(__xludf.DUMMYFUNCTION("+BJ70*$D70"),0)</f>
        <v>0</v>
      </c>
      <c r="BR72" s="20"/>
      <c r="BS72" s="20"/>
      <c r="BT72" s="20">
        <f ca="1">IFERROR(__xludf.DUMMYFUNCTION("+BH70+BI70"),0)</f>
        <v>0</v>
      </c>
      <c r="BU72" s="20">
        <f ca="1">IFERROR(__xludf.DUMMYFUNCTION("+BJ70*$D70"),0)</f>
        <v>0</v>
      </c>
      <c r="BW72" s="20"/>
      <c r="BX72" s="20"/>
      <c r="BY72" s="20">
        <f ca="1">IFERROR(__xludf.DUMMYFUNCTION("+BH70+BI70"),0)</f>
        <v>0</v>
      </c>
      <c r="BZ72" s="20">
        <f ca="1">IFERROR(__xludf.DUMMYFUNCTION("+BJ70*$D70"),0)</f>
        <v>0</v>
      </c>
      <c r="CB72" s="20"/>
      <c r="CC72" s="20"/>
      <c r="CD72" s="20">
        <f ca="1">IFERROR(__xludf.DUMMYFUNCTION("+BH70+BI70"),0)</f>
        <v>0</v>
      </c>
      <c r="CE72" s="20">
        <f ca="1">IFERROR(__xludf.DUMMYFUNCTION("+BJ70*$D70"),0)</f>
        <v>0</v>
      </c>
      <c r="CG72" s="20"/>
      <c r="CH72" s="20"/>
      <c r="CI72" s="20">
        <f ca="1">IFERROR(__xludf.DUMMYFUNCTION("+BH70+BI70"),0)</f>
        <v>0</v>
      </c>
      <c r="CJ72" s="20">
        <f ca="1">IFERROR(__xludf.DUMMYFUNCTION("+BJ70*$D70"),0)</f>
        <v>0</v>
      </c>
      <c r="CL72" s="20"/>
      <c r="CM72" s="20"/>
      <c r="CN72" s="20">
        <f ca="1">IFERROR(__xludf.DUMMYFUNCTION("+BH70+BI70"),0)</f>
        <v>0</v>
      </c>
      <c r="CO72" s="20">
        <f ca="1">IFERROR(__xludf.DUMMYFUNCTION("+BJ70*$D70"),0)</f>
        <v>0</v>
      </c>
      <c r="CQ72" s="138">
        <f ca="1">AVERAGE(AA72,AF72,AK72)</f>
        <v>1503.8426666666667</v>
      </c>
    </row>
    <row r="73" spans="1:95" ht="15.75" customHeight="1" x14ac:dyDescent="0.2">
      <c r="A73" s="52" t="s">
        <v>102</v>
      </c>
      <c r="B73" s="53" t="s">
        <v>78</v>
      </c>
      <c r="C73" s="54">
        <v>6</v>
      </c>
      <c r="D73" s="16">
        <f ca="1">IFERROR(__xludf.DUMMYFUNCTION("+C71*$B$2"),480)</f>
        <v>480</v>
      </c>
      <c r="E73" s="55">
        <v>10036.400000000001</v>
      </c>
      <c r="F73" s="56">
        <v>60218.400000000009</v>
      </c>
      <c r="G73" s="18">
        <f ca="1">IFERROR(__xludf.DUMMYFUNCTION("+E71*D71"),4817472)</f>
        <v>4817472</v>
      </c>
      <c r="H73" s="38"/>
      <c r="J73" s="20"/>
      <c r="K73" s="20"/>
      <c r="L73" s="20">
        <f ca="1">IFERROR(__xludf.DUMMYFUNCTION("+J71+K71"),0)</f>
        <v>0</v>
      </c>
      <c r="M73" s="20">
        <f ca="1">IFERROR(__xludf.DUMMYFUNCTION("+L71*$D71"),0)</f>
        <v>0</v>
      </c>
      <c r="O73" s="20"/>
      <c r="P73" s="20"/>
      <c r="Q73" s="20">
        <f ca="1">IFERROR(__xludf.DUMMYFUNCTION("+O71+P71"),0)</f>
        <v>0</v>
      </c>
      <c r="R73" s="20">
        <f ca="1">IFERROR(__xludf.DUMMYFUNCTION("+Q71*$D71"),0)</f>
        <v>0</v>
      </c>
      <c r="T73" s="20"/>
      <c r="U73" s="20"/>
      <c r="V73" s="20">
        <f ca="1">IFERROR(__xludf.DUMMYFUNCTION("+T71+U71"),0)</f>
        <v>0</v>
      </c>
      <c r="W73" s="20">
        <f ca="1">IFERROR(__xludf.DUMMYFUNCTION("+V71*$D71"),0)</f>
        <v>0</v>
      </c>
      <c r="Y73" s="20">
        <v>4900</v>
      </c>
      <c r="Z73" s="20">
        <f ca="1">IFERROR(__xludf.DUMMYFUNCTION("+Y71*19%"),931)</f>
        <v>931</v>
      </c>
      <c r="AA73" s="20">
        <f ca="1">IFERROR(__xludf.DUMMYFUNCTION("+Y71+Z71"),5831)</f>
        <v>5831</v>
      </c>
      <c r="AB73" s="20">
        <f ca="1">IFERROR(__xludf.DUMMYFUNCTION("+AA71*$D71"),2798880)</f>
        <v>2798880</v>
      </c>
      <c r="AD73" s="20">
        <v>3900</v>
      </c>
      <c r="AE73" s="20">
        <f ca="1">IFERROR(__xludf.DUMMYFUNCTION("+AD71*19%"),741)</f>
        <v>741</v>
      </c>
      <c r="AF73" s="20">
        <f ca="1">IFERROR(__xludf.DUMMYFUNCTION("+AD71+AE71"),4641)</f>
        <v>4641</v>
      </c>
      <c r="AG73" s="20">
        <f ca="1">IFERROR(__xludf.DUMMYFUNCTION("+AF71*$D71"),2227680)</f>
        <v>2227680</v>
      </c>
      <c r="AI73" s="20">
        <v>4454.3999999999996</v>
      </c>
      <c r="AJ73" s="20">
        <f ca="1">IFERROR(__xludf.DUMMYFUNCTION("+AI71*19%"),846.335999999999)</f>
        <v>846.33599999999899</v>
      </c>
      <c r="AK73" s="20">
        <f ca="1">IFERROR(__xludf.DUMMYFUNCTION("+AI71+AJ71"),5300.736)</f>
        <v>5300.7359999999999</v>
      </c>
      <c r="AL73" s="20">
        <f ca="1">IFERROR(__xludf.DUMMYFUNCTION("+AK71*$D71"),2544353.28)</f>
        <v>2544353.2799999998</v>
      </c>
      <c r="AN73" s="20"/>
      <c r="AO73" s="20"/>
      <c r="AP73" s="20">
        <f ca="1">IFERROR(__xludf.DUMMYFUNCTION("+AN71+AO71"),0)</f>
        <v>0</v>
      </c>
      <c r="AQ73" s="20">
        <f ca="1">IFERROR(__xludf.DUMMYFUNCTION("+AP71*$D71"),0)</f>
        <v>0</v>
      </c>
      <c r="AS73" s="20"/>
      <c r="AT73" s="20"/>
      <c r="AU73" s="20">
        <f ca="1">IFERROR(__xludf.DUMMYFUNCTION("+AS71+AT71"),0)</f>
        <v>0</v>
      </c>
      <c r="AV73" s="20">
        <f ca="1">IFERROR(__xludf.DUMMYFUNCTION("+AU71*$D71"),0)</f>
        <v>0</v>
      </c>
      <c r="AX73" s="20"/>
      <c r="AY73" s="20"/>
      <c r="AZ73" s="20">
        <f ca="1">IFERROR(__xludf.DUMMYFUNCTION("+AX71+AY71"),0)</f>
        <v>0</v>
      </c>
      <c r="BA73" s="20">
        <f ca="1">IFERROR(__xludf.DUMMYFUNCTION("+AZ71*$D71"),0)</f>
        <v>0</v>
      </c>
      <c r="BC73" s="20"/>
      <c r="BD73" s="20"/>
      <c r="BE73" s="20">
        <f ca="1">IFERROR(__xludf.DUMMYFUNCTION("+BC71+BD71"),0)</f>
        <v>0</v>
      </c>
      <c r="BF73" s="20">
        <f ca="1">IFERROR(__xludf.DUMMYFUNCTION("+BE71*$D71"),0)</f>
        <v>0</v>
      </c>
      <c r="BH73" s="20"/>
      <c r="BI73" s="20"/>
      <c r="BJ73" s="20">
        <f ca="1">IFERROR(__xludf.DUMMYFUNCTION("+BH71+BI71"),0)</f>
        <v>0</v>
      </c>
      <c r="BK73" s="20">
        <f ca="1">IFERROR(__xludf.DUMMYFUNCTION("+BJ71*$D71"),0)</f>
        <v>0</v>
      </c>
      <c r="BM73" s="20"/>
      <c r="BN73" s="20"/>
      <c r="BO73" s="20">
        <f ca="1">IFERROR(__xludf.DUMMYFUNCTION("+BH71+BI71"),0)</f>
        <v>0</v>
      </c>
      <c r="BP73" s="20">
        <f ca="1">IFERROR(__xludf.DUMMYFUNCTION("+BJ71*$D71"),0)</f>
        <v>0</v>
      </c>
      <c r="BR73" s="20"/>
      <c r="BS73" s="20"/>
      <c r="BT73" s="20">
        <f ca="1">IFERROR(__xludf.DUMMYFUNCTION("+BH71+BI71"),0)</f>
        <v>0</v>
      </c>
      <c r="BU73" s="20">
        <f ca="1">IFERROR(__xludf.DUMMYFUNCTION("+BJ71*$D71"),0)</f>
        <v>0</v>
      </c>
      <c r="BW73" s="20"/>
      <c r="BX73" s="20"/>
      <c r="BY73" s="20">
        <f ca="1">IFERROR(__xludf.DUMMYFUNCTION("+BH71+BI71"),0)</f>
        <v>0</v>
      </c>
      <c r="BZ73" s="20">
        <f ca="1">IFERROR(__xludf.DUMMYFUNCTION("+BJ71*$D71"),0)</f>
        <v>0</v>
      </c>
      <c r="CB73" s="20"/>
      <c r="CC73" s="20"/>
      <c r="CD73" s="20">
        <f ca="1">IFERROR(__xludf.DUMMYFUNCTION("+BH71+BI71"),0)</f>
        <v>0</v>
      </c>
      <c r="CE73" s="20">
        <f ca="1">IFERROR(__xludf.DUMMYFUNCTION("+BJ71*$D71"),0)</f>
        <v>0</v>
      </c>
      <c r="CG73" s="20"/>
      <c r="CH73" s="20"/>
      <c r="CI73" s="20">
        <f ca="1">IFERROR(__xludf.DUMMYFUNCTION("+BH71+BI71"),0)</f>
        <v>0</v>
      </c>
      <c r="CJ73" s="20">
        <f ca="1">IFERROR(__xludf.DUMMYFUNCTION("+BJ71*$D71"),0)</f>
        <v>0</v>
      </c>
      <c r="CL73" s="20"/>
      <c r="CM73" s="20"/>
      <c r="CN73" s="20">
        <f ca="1">IFERROR(__xludf.DUMMYFUNCTION("+BH71+BI71"),0)</f>
        <v>0</v>
      </c>
      <c r="CO73" s="20">
        <f ca="1">IFERROR(__xludf.DUMMYFUNCTION("+BJ71*$D71"),0)</f>
        <v>0</v>
      </c>
      <c r="CQ73" s="138">
        <f ca="1">AVERAGE(AA73,AF73,AK73)</f>
        <v>5257.5786666666672</v>
      </c>
    </row>
    <row r="74" spans="1:95" ht="15.75" customHeight="1" x14ac:dyDescent="0.2">
      <c r="A74" s="52" t="s">
        <v>103</v>
      </c>
      <c r="B74" s="53" t="s">
        <v>78</v>
      </c>
      <c r="C74" s="54">
        <v>3</v>
      </c>
      <c r="D74" s="16">
        <f ca="1">IFERROR(__xludf.DUMMYFUNCTION("+C72*$B$2"),240)</f>
        <v>240</v>
      </c>
      <c r="E74" s="55">
        <v>1889.8000000000002</v>
      </c>
      <c r="F74" s="56">
        <v>5669.4000000000005</v>
      </c>
      <c r="G74" s="18">
        <f ca="1">IFERROR(__xludf.DUMMYFUNCTION("+E72*D72"),453552)</f>
        <v>453552</v>
      </c>
      <c r="H74" s="38"/>
      <c r="J74" s="20"/>
      <c r="K74" s="20"/>
      <c r="L74" s="20">
        <f ca="1">IFERROR(__xludf.DUMMYFUNCTION("+J72+K72"),0)</f>
        <v>0</v>
      </c>
      <c r="M74" s="20">
        <f ca="1">IFERROR(__xludf.DUMMYFUNCTION("+L72*$D72"),0)</f>
        <v>0</v>
      </c>
      <c r="O74" s="20"/>
      <c r="P74" s="20"/>
      <c r="Q74" s="20">
        <f ca="1">IFERROR(__xludf.DUMMYFUNCTION("+O72+P72"),0)</f>
        <v>0</v>
      </c>
      <c r="R74" s="20">
        <f ca="1">IFERROR(__xludf.DUMMYFUNCTION("+Q72*$D72"),0)</f>
        <v>0</v>
      </c>
      <c r="T74" s="20"/>
      <c r="U74" s="20"/>
      <c r="V74" s="20">
        <f ca="1">IFERROR(__xludf.DUMMYFUNCTION("+T72+U72"),0)</f>
        <v>0</v>
      </c>
      <c r="W74" s="20">
        <f ca="1">IFERROR(__xludf.DUMMYFUNCTION("+V72*$D72"),0)</f>
        <v>0</v>
      </c>
      <c r="Y74" s="20">
        <v>832</v>
      </c>
      <c r="Z74" s="20">
        <f ca="1">IFERROR(__xludf.DUMMYFUNCTION("+Y72*19%"),158.08)</f>
        <v>158.08000000000001</v>
      </c>
      <c r="AA74" s="20">
        <f ca="1">IFERROR(__xludf.DUMMYFUNCTION("+Y72+Z72"),990.08)</f>
        <v>990.08</v>
      </c>
      <c r="AB74" s="20">
        <f ca="1">IFERROR(__xludf.DUMMYFUNCTION("+AA72*$D72"),237619.2)</f>
        <v>237619.20000000001</v>
      </c>
      <c r="AD74" s="20">
        <v>1360</v>
      </c>
      <c r="AE74" s="20">
        <f ca="1">IFERROR(__xludf.DUMMYFUNCTION("+AD72*19%"),258.4)</f>
        <v>258.39999999999998</v>
      </c>
      <c r="AF74" s="20">
        <f ca="1">IFERROR(__xludf.DUMMYFUNCTION("+AD72+AE72"),1618.4)</f>
        <v>1618.4</v>
      </c>
      <c r="AG74" s="20">
        <f ca="1">IFERROR(__xludf.DUMMYFUNCTION("+AF72*$D72"),388416)</f>
        <v>388416</v>
      </c>
      <c r="AI74" s="20">
        <v>756</v>
      </c>
      <c r="AJ74" s="20">
        <f ca="1">IFERROR(__xludf.DUMMYFUNCTION("+AI72*19%"),143.64)</f>
        <v>143.63999999999999</v>
      </c>
      <c r="AK74" s="20">
        <f ca="1">IFERROR(__xludf.DUMMYFUNCTION("+AI72+AJ72"),899.64)</f>
        <v>899.64</v>
      </c>
      <c r="AL74" s="20">
        <f ca="1">IFERROR(__xludf.DUMMYFUNCTION("+AK72*$D72"),215913.6)</f>
        <v>215913.60000000001</v>
      </c>
      <c r="AN74" s="20"/>
      <c r="AO74" s="20"/>
      <c r="AP74" s="20">
        <f ca="1">IFERROR(__xludf.DUMMYFUNCTION("+AN72+AO72"),0)</f>
        <v>0</v>
      </c>
      <c r="AQ74" s="20">
        <f ca="1">IFERROR(__xludf.DUMMYFUNCTION("+AP72*$D72"),0)</f>
        <v>0</v>
      </c>
      <c r="AS74" s="20"/>
      <c r="AT74" s="20"/>
      <c r="AU74" s="20">
        <f ca="1">IFERROR(__xludf.DUMMYFUNCTION("+AS72+AT72"),0)</f>
        <v>0</v>
      </c>
      <c r="AV74" s="20">
        <f ca="1">IFERROR(__xludf.DUMMYFUNCTION("+AU72*$D72"),0)</f>
        <v>0</v>
      </c>
      <c r="AX74" s="20"/>
      <c r="AY74" s="20"/>
      <c r="AZ74" s="20">
        <f ca="1">IFERROR(__xludf.DUMMYFUNCTION("+AX72+AY72"),0)</f>
        <v>0</v>
      </c>
      <c r="BA74" s="20">
        <f ca="1">IFERROR(__xludf.DUMMYFUNCTION("+AZ72*$D72"),0)</f>
        <v>0</v>
      </c>
      <c r="BC74" s="20"/>
      <c r="BD74" s="20"/>
      <c r="BE74" s="20">
        <f ca="1">IFERROR(__xludf.DUMMYFUNCTION("+BC72+BD72"),0)</f>
        <v>0</v>
      </c>
      <c r="BF74" s="20">
        <f ca="1">IFERROR(__xludf.DUMMYFUNCTION("+BE72*$D72"),0)</f>
        <v>0</v>
      </c>
      <c r="BH74" s="20"/>
      <c r="BI74" s="20"/>
      <c r="BJ74" s="20">
        <f ca="1">IFERROR(__xludf.DUMMYFUNCTION("+BH72+BI72"),0)</f>
        <v>0</v>
      </c>
      <c r="BK74" s="20">
        <f ca="1">IFERROR(__xludf.DUMMYFUNCTION("+BJ72*$D72"),0)</f>
        <v>0</v>
      </c>
      <c r="BM74" s="20"/>
      <c r="BN74" s="20"/>
      <c r="BO74" s="20">
        <f ca="1">IFERROR(__xludf.DUMMYFUNCTION("+BH72+BI72"),0)</f>
        <v>0</v>
      </c>
      <c r="BP74" s="20">
        <f ca="1">IFERROR(__xludf.DUMMYFUNCTION("+BJ72*$D72"),0)</f>
        <v>0</v>
      </c>
      <c r="BR74" s="20"/>
      <c r="BS74" s="20"/>
      <c r="BT74" s="20">
        <f ca="1">IFERROR(__xludf.DUMMYFUNCTION("+BH72+BI72"),0)</f>
        <v>0</v>
      </c>
      <c r="BU74" s="20">
        <f ca="1">IFERROR(__xludf.DUMMYFUNCTION("+BJ72*$D72"),0)</f>
        <v>0</v>
      </c>
      <c r="BW74" s="20"/>
      <c r="BX74" s="20"/>
      <c r="BY74" s="20">
        <f ca="1">IFERROR(__xludf.DUMMYFUNCTION("+BH72+BI72"),0)</f>
        <v>0</v>
      </c>
      <c r="BZ74" s="20">
        <f ca="1">IFERROR(__xludf.DUMMYFUNCTION("+BJ72*$D72"),0)</f>
        <v>0</v>
      </c>
      <c r="CB74" s="20"/>
      <c r="CC74" s="20"/>
      <c r="CD74" s="20">
        <f ca="1">IFERROR(__xludf.DUMMYFUNCTION("+BH72+BI72"),0)</f>
        <v>0</v>
      </c>
      <c r="CE74" s="20">
        <f ca="1">IFERROR(__xludf.DUMMYFUNCTION("+BJ72*$D72"),0)</f>
        <v>0</v>
      </c>
      <c r="CG74" s="20"/>
      <c r="CH74" s="20"/>
      <c r="CI74" s="20">
        <f ca="1">IFERROR(__xludf.DUMMYFUNCTION("+BH72+BI72"),0)</f>
        <v>0</v>
      </c>
      <c r="CJ74" s="20">
        <f ca="1">IFERROR(__xludf.DUMMYFUNCTION("+BJ72*$D72"),0)</f>
        <v>0</v>
      </c>
      <c r="CL74" s="20"/>
      <c r="CM74" s="20"/>
      <c r="CN74" s="20">
        <f ca="1">IFERROR(__xludf.DUMMYFUNCTION("+BH72+BI72"),0)</f>
        <v>0</v>
      </c>
      <c r="CO74" s="20">
        <f ca="1">IFERROR(__xludf.DUMMYFUNCTION("+BJ72*$D72"),0)</f>
        <v>0</v>
      </c>
      <c r="CQ74" s="138">
        <f t="shared" ref="CQ74:CQ92" ca="1" si="54">AVERAGE(AA74,AF74,AK74)</f>
        <v>1169.3733333333332</v>
      </c>
    </row>
    <row r="75" spans="1:95" ht="15.75" customHeight="1" x14ac:dyDescent="0.2">
      <c r="A75" s="52" t="s">
        <v>104</v>
      </c>
      <c r="B75" s="53" t="s">
        <v>78</v>
      </c>
      <c r="C75" s="54">
        <v>6</v>
      </c>
      <c r="D75" s="16">
        <f ca="1">IFERROR(__xludf.DUMMYFUNCTION("+C73*$B$2"),480)</f>
        <v>480</v>
      </c>
      <c r="E75" s="55">
        <v>6658.3</v>
      </c>
      <c r="F75" s="56">
        <v>39949.800000000003</v>
      </c>
      <c r="G75" s="18">
        <f ca="1">IFERROR(__xludf.DUMMYFUNCTION("+E73*D73"),3195984)</f>
        <v>3195984</v>
      </c>
      <c r="H75" s="38"/>
      <c r="J75" s="20"/>
      <c r="K75" s="20"/>
      <c r="L75" s="20">
        <f ca="1">IFERROR(__xludf.DUMMYFUNCTION("+J73+K73"),0)</f>
        <v>0</v>
      </c>
      <c r="M75" s="20">
        <f ca="1">IFERROR(__xludf.DUMMYFUNCTION("+L73*$D73"),0)</f>
        <v>0</v>
      </c>
      <c r="O75" s="20"/>
      <c r="P75" s="20"/>
      <c r="Q75" s="20">
        <f ca="1">IFERROR(__xludf.DUMMYFUNCTION("+O73+P73"),0)</f>
        <v>0</v>
      </c>
      <c r="R75" s="20">
        <f ca="1">IFERROR(__xludf.DUMMYFUNCTION("+Q73*$D73"),0)</f>
        <v>0</v>
      </c>
      <c r="T75" s="20"/>
      <c r="U75" s="20"/>
      <c r="V75" s="20">
        <f ca="1">IFERROR(__xludf.DUMMYFUNCTION("+T73+U73"),0)</f>
        <v>0</v>
      </c>
      <c r="W75" s="20">
        <f ca="1">IFERROR(__xludf.DUMMYFUNCTION("+V73*$D73"),0)</f>
        <v>0</v>
      </c>
      <c r="Y75" s="20">
        <v>2930</v>
      </c>
      <c r="Z75" s="20">
        <f ca="1">IFERROR(__xludf.DUMMYFUNCTION("+Y73*19%"),556.7)</f>
        <v>556.70000000000005</v>
      </c>
      <c r="AA75" s="20">
        <f ca="1">IFERROR(__xludf.DUMMYFUNCTION("+Y73+Z73"),3486.7)</f>
        <v>3486.7</v>
      </c>
      <c r="AB75" s="20">
        <f ca="1">IFERROR(__xludf.DUMMYFUNCTION("+AA73*$D73"),1673616)</f>
        <v>1673616</v>
      </c>
      <c r="AD75" s="20">
        <v>3700</v>
      </c>
      <c r="AE75" s="20">
        <f ca="1">IFERROR(__xludf.DUMMYFUNCTION("+AD73*19%"),703)</f>
        <v>703</v>
      </c>
      <c r="AF75" s="20">
        <f ca="1">IFERROR(__xludf.DUMMYFUNCTION("+AD73+AE73"),4403)</f>
        <v>4403</v>
      </c>
      <c r="AG75" s="20">
        <f ca="1">IFERROR(__xludf.DUMMYFUNCTION("+AF73*$D73"),2113440)</f>
        <v>2113440</v>
      </c>
      <c r="AI75" s="20">
        <v>2663.2</v>
      </c>
      <c r="AJ75" s="20">
        <f ca="1">IFERROR(__xludf.DUMMYFUNCTION("+AI73*19%"),506.008)</f>
        <v>506.00799999999998</v>
      </c>
      <c r="AK75" s="20">
        <f ca="1">IFERROR(__xludf.DUMMYFUNCTION("+AI73+AJ73"),3169.20799999999)</f>
        <v>3169.2079999999901</v>
      </c>
      <c r="AL75" s="20">
        <f ca="1">IFERROR(__xludf.DUMMYFUNCTION("+AK73*$D73"),1521219.83999999)</f>
        <v>1521219.8399999901</v>
      </c>
      <c r="AN75" s="20"/>
      <c r="AO75" s="20"/>
      <c r="AP75" s="20">
        <f ca="1">IFERROR(__xludf.DUMMYFUNCTION("+AN73+AO73"),0)</f>
        <v>0</v>
      </c>
      <c r="AQ75" s="20">
        <f ca="1">IFERROR(__xludf.DUMMYFUNCTION("+AP73*$D73"),0)</f>
        <v>0</v>
      </c>
      <c r="AS75" s="20"/>
      <c r="AT75" s="20"/>
      <c r="AU75" s="20">
        <f ca="1">IFERROR(__xludf.DUMMYFUNCTION("+AS73+AT73"),0)</f>
        <v>0</v>
      </c>
      <c r="AV75" s="20">
        <f ca="1">IFERROR(__xludf.DUMMYFUNCTION("+AU73*$D73"),0)</f>
        <v>0</v>
      </c>
      <c r="AX75" s="20"/>
      <c r="AY75" s="20"/>
      <c r="AZ75" s="20">
        <f ca="1">IFERROR(__xludf.DUMMYFUNCTION("+AX73+AY73"),0)</f>
        <v>0</v>
      </c>
      <c r="BA75" s="20">
        <f ca="1">IFERROR(__xludf.DUMMYFUNCTION("+AZ73*$D73"),0)</f>
        <v>0</v>
      </c>
      <c r="BC75" s="20"/>
      <c r="BD75" s="20"/>
      <c r="BE75" s="20">
        <f ca="1">IFERROR(__xludf.DUMMYFUNCTION("+BC73+BD73"),0)</f>
        <v>0</v>
      </c>
      <c r="BF75" s="20">
        <f ca="1">IFERROR(__xludf.DUMMYFUNCTION("+BE73*$D73"),0)</f>
        <v>0</v>
      </c>
      <c r="BH75" s="20"/>
      <c r="BI75" s="20"/>
      <c r="BJ75" s="20">
        <f ca="1">IFERROR(__xludf.DUMMYFUNCTION("+BH73+BI73"),0)</f>
        <v>0</v>
      </c>
      <c r="BK75" s="20">
        <f ca="1">IFERROR(__xludf.DUMMYFUNCTION("+BJ73*$D73"),0)</f>
        <v>0</v>
      </c>
      <c r="BM75" s="20"/>
      <c r="BN75" s="20"/>
      <c r="BO75" s="20">
        <f ca="1">IFERROR(__xludf.DUMMYFUNCTION("+BH73+BI73"),0)</f>
        <v>0</v>
      </c>
      <c r="BP75" s="20">
        <f ca="1">IFERROR(__xludf.DUMMYFUNCTION("+BJ73*$D73"),0)</f>
        <v>0</v>
      </c>
      <c r="BR75" s="20"/>
      <c r="BS75" s="20"/>
      <c r="BT75" s="20">
        <f ca="1">IFERROR(__xludf.DUMMYFUNCTION("+BH73+BI73"),0)</f>
        <v>0</v>
      </c>
      <c r="BU75" s="20">
        <f ca="1">IFERROR(__xludf.DUMMYFUNCTION("+BJ73*$D73"),0)</f>
        <v>0</v>
      </c>
      <c r="BW75" s="20"/>
      <c r="BX75" s="20"/>
      <c r="BY75" s="20">
        <f ca="1">IFERROR(__xludf.DUMMYFUNCTION("+BH73+BI73"),0)</f>
        <v>0</v>
      </c>
      <c r="BZ75" s="20">
        <f ca="1">IFERROR(__xludf.DUMMYFUNCTION("+BJ73*$D73"),0)</f>
        <v>0</v>
      </c>
      <c r="CB75" s="20"/>
      <c r="CC75" s="20"/>
      <c r="CD75" s="20">
        <f ca="1">IFERROR(__xludf.DUMMYFUNCTION("+BH73+BI73"),0)</f>
        <v>0</v>
      </c>
      <c r="CE75" s="20">
        <f ca="1">IFERROR(__xludf.DUMMYFUNCTION("+BJ73*$D73"),0)</f>
        <v>0</v>
      </c>
      <c r="CG75" s="20"/>
      <c r="CH75" s="20"/>
      <c r="CI75" s="20">
        <f ca="1">IFERROR(__xludf.DUMMYFUNCTION("+BH73+BI73"),0)</f>
        <v>0</v>
      </c>
      <c r="CJ75" s="20">
        <f ca="1">IFERROR(__xludf.DUMMYFUNCTION("+BJ73*$D73"),0)</f>
        <v>0</v>
      </c>
      <c r="CL75" s="20"/>
      <c r="CM75" s="20"/>
      <c r="CN75" s="20">
        <f ca="1">IFERROR(__xludf.DUMMYFUNCTION("+BH73+BI73"),0)</f>
        <v>0</v>
      </c>
      <c r="CO75" s="20">
        <f ca="1">IFERROR(__xludf.DUMMYFUNCTION("+BJ73*$D73"),0)</f>
        <v>0</v>
      </c>
      <c r="CQ75" s="138">
        <f t="shared" ca="1" si="54"/>
        <v>3686.3026666666633</v>
      </c>
    </row>
    <row r="76" spans="1:95" ht="15.75" customHeight="1" x14ac:dyDescent="0.2">
      <c r="A76" s="52" t="s">
        <v>105</v>
      </c>
      <c r="B76" s="53" t="s">
        <v>78</v>
      </c>
      <c r="C76" s="54">
        <v>10</v>
      </c>
      <c r="D76" s="16">
        <f ca="1">IFERROR(__xludf.DUMMYFUNCTION("+C74*$B$2"),800)</f>
        <v>800</v>
      </c>
      <c r="E76" s="55">
        <v>3723.5000000000005</v>
      </c>
      <c r="F76" s="56">
        <v>37235.000000000007</v>
      </c>
      <c r="G76" s="18">
        <f ca="1">IFERROR(__xludf.DUMMYFUNCTION("+E74*D74"),2978800)</f>
        <v>2978800</v>
      </c>
      <c r="H76" s="38"/>
      <c r="J76" s="20"/>
      <c r="K76" s="20"/>
      <c r="L76" s="20">
        <f ca="1">IFERROR(__xludf.DUMMYFUNCTION("+J74+K74"),0)</f>
        <v>0</v>
      </c>
      <c r="M76" s="20">
        <f ca="1">IFERROR(__xludf.DUMMYFUNCTION("+L74*$D74"),0)</f>
        <v>0</v>
      </c>
      <c r="O76" s="20"/>
      <c r="P76" s="20"/>
      <c r="Q76" s="20">
        <f ca="1">IFERROR(__xludf.DUMMYFUNCTION("+O74+P74"),0)</f>
        <v>0</v>
      </c>
      <c r="R76" s="20">
        <f ca="1">IFERROR(__xludf.DUMMYFUNCTION("+Q74*$D74"),0)</f>
        <v>0</v>
      </c>
      <c r="T76" s="20"/>
      <c r="U76" s="20"/>
      <c r="V76" s="20">
        <f ca="1">IFERROR(__xludf.DUMMYFUNCTION("+T74+U74"),0)</f>
        <v>0</v>
      </c>
      <c r="W76" s="20">
        <f ca="1">IFERROR(__xludf.DUMMYFUNCTION("+V74*$D74"),0)</f>
        <v>0</v>
      </c>
      <c r="Y76" s="20">
        <v>1639</v>
      </c>
      <c r="Z76" s="20">
        <f ca="1">IFERROR(__xludf.DUMMYFUNCTION("+Y74*19%"),311.41)</f>
        <v>311.41000000000003</v>
      </c>
      <c r="AA76" s="20">
        <f ca="1">IFERROR(__xludf.DUMMYFUNCTION("+Y74+Z74"),1950.41)</f>
        <v>1950.41</v>
      </c>
      <c r="AB76" s="20">
        <f ca="1">IFERROR(__xludf.DUMMYFUNCTION("+AA74*$D74"),1560328)</f>
        <v>1560328</v>
      </c>
      <c r="AD76" s="20">
        <v>1895</v>
      </c>
      <c r="AE76" s="20">
        <f ca="1">IFERROR(__xludf.DUMMYFUNCTION("+AD74*19%"),360.05)</f>
        <v>360.05</v>
      </c>
      <c r="AF76" s="20">
        <f ca="1">IFERROR(__xludf.DUMMYFUNCTION("+AD74+AE74"),2255.05)</f>
        <v>2255.0500000000002</v>
      </c>
      <c r="AG76" s="20">
        <f ca="1">IFERROR(__xludf.DUMMYFUNCTION("+AF74*$D74"),1804040)</f>
        <v>1804040</v>
      </c>
      <c r="AI76" s="20">
        <v>1490.4</v>
      </c>
      <c r="AJ76" s="20">
        <f ca="1">IFERROR(__xludf.DUMMYFUNCTION("+AI74*19%"),283.176)</f>
        <v>283.17599999999999</v>
      </c>
      <c r="AK76" s="20">
        <f ca="1">IFERROR(__xludf.DUMMYFUNCTION("+AI74+AJ74"),1773.576)</f>
        <v>1773.576</v>
      </c>
      <c r="AL76" s="20">
        <f ca="1">IFERROR(__xludf.DUMMYFUNCTION("+AK74*$D74"),1418860.8)</f>
        <v>1418860.8</v>
      </c>
      <c r="AN76" s="20"/>
      <c r="AO76" s="20"/>
      <c r="AP76" s="20">
        <f ca="1">IFERROR(__xludf.DUMMYFUNCTION("+AN74+AO74"),0)</f>
        <v>0</v>
      </c>
      <c r="AQ76" s="20">
        <f ca="1">IFERROR(__xludf.DUMMYFUNCTION("+AP74*$D74"),0)</f>
        <v>0</v>
      </c>
      <c r="AS76" s="20"/>
      <c r="AT76" s="20"/>
      <c r="AU76" s="20">
        <f ca="1">IFERROR(__xludf.DUMMYFUNCTION("+AS74+AT74"),0)</f>
        <v>0</v>
      </c>
      <c r="AV76" s="20">
        <f ca="1">IFERROR(__xludf.DUMMYFUNCTION("+AU74*$D74"),0)</f>
        <v>0</v>
      </c>
      <c r="AX76" s="20"/>
      <c r="AY76" s="20"/>
      <c r="AZ76" s="20">
        <f ca="1">IFERROR(__xludf.DUMMYFUNCTION("+AX74+AY74"),0)</f>
        <v>0</v>
      </c>
      <c r="BA76" s="20">
        <f ca="1">IFERROR(__xludf.DUMMYFUNCTION("+AZ74*$D74"),0)</f>
        <v>0</v>
      </c>
      <c r="BC76" s="20"/>
      <c r="BD76" s="20"/>
      <c r="BE76" s="20">
        <f ca="1">IFERROR(__xludf.DUMMYFUNCTION("+BC74+BD74"),0)</f>
        <v>0</v>
      </c>
      <c r="BF76" s="20">
        <f ca="1">IFERROR(__xludf.DUMMYFUNCTION("+BE74*$D74"),0)</f>
        <v>0</v>
      </c>
      <c r="BH76" s="20"/>
      <c r="BI76" s="20"/>
      <c r="BJ76" s="20">
        <f ca="1">IFERROR(__xludf.DUMMYFUNCTION("+BH74+BI74"),0)</f>
        <v>0</v>
      </c>
      <c r="BK76" s="20">
        <f ca="1">IFERROR(__xludf.DUMMYFUNCTION("+BJ74*$D74"),0)</f>
        <v>0</v>
      </c>
      <c r="BM76" s="20"/>
      <c r="BN76" s="20"/>
      <c r="BO76" s="20">
        <f ca="1">IFERROR(__xludf.DUMMYFUNCTION("+BH74+BI74"),0)</f>
        <v>0</v>
      </c>
      <c r="BP76" s="20">
        <f ca="1">IFERROR(__xludf.DUMMYFUNCTION("+BJ74*$D74"),0)</f>
        <v>0</v>
      </c>
      <c r="BR76" s="20"/>
      <c r="BS76" s="20"/>
      <c r="BT76" s="20">
        <f ca="1">IFERROR(__xludf.DUMMYFUNCTION("+BH74+BI74"),0)</f>
        <v>0</v>
      </c>
      <c r="BU76" s="20">
        <f ca="1">IFERROR(__xludf.DUMMYFUNCTION("+BJ74*$D74"),0)</f>
        <v>0</v>
      </c>
      <c r="BW76" s="20"/>
      <c r="BX76" s="20"/>
      <c r="BY76" s="20">
        <f ca="1">IFERROR(__xludf.DUMMYFUNCTION("+BH74+BI74"),0)</f>
        <v>0</v>
      </c>
      <c r="BZ76" s="20">
        <f ca="1">IFERROR(__xludf.DUMMYFUNCTION("+BJ74*$D74"),0)</f>
        <v>0</v>
      </c>
      <c r="CB76" s="20"/>
      <c r="CC76" s="20"/>
      <c r="CD76" s="20">
        <f ca="1">IFERROR(__xludf.DUMMYFUNCTION("+BH74+BI74"),0)</f>
        <v>0</v>
      </c>
      <c r="CE76" s="20">
        <f ca="1">IFERROR(__xludf.DUMMYFUNCTION("+BJ74*$D74"),0)</f>
        <v>0</v>
      </c>
      <c r="CG76" s="20"/>
      <c r="CH76" s="20"/>
      <c r="CI76" s="20">
        <f ca="1">IFERROR(__xludf.DUMMYFUNCTION("+BH74+BI74"),0)</f>
        <v>0</v>
      </c>
      <c r="CJ76" s="20">
        <f ca="1">IFERROR(__xludf.DUMMYFUNCTION("+BJ74*$D74"),0)</f>
        <v>0</v>
      </c>
      <c r="CL76" s="20"/>
      <c r="CM76" s="20"/>
      <c r="CN76" s="20">
        <f ca="1">IFERROR(__xludf.DUMMYFUNCTION("+BH74+BI74"),0)</f>
        <v>0</v>
      </c>
      <c r="CO76" s="20">
        <f ca="1">IFERROR(__xludf.DUMMYFUNCTION("+BJ74*$D74"),0)</f>
        <v>0</v>
      </c>
      <c r="CQ76" s="138">
        <f t="shared" ca="1" si="54"/>
        <v>1993.0119999999999</v>
      </c>
    </row>
    <row r="77" spans="1:95" ht="15.75" customHeight="1" x14ac:dyDescent="0.2">
      <c r="A77" s="52" t="s">
        <v>106</v>
      </c>
      <c r="B77" s="53" t="s">
        <v>78</v>
      </c>
      <c r="C77" s="54">
        <v>2</v>
      </c>
      <c r="D77" s="16">
        <f ca="1">IFERROR(__xludf.DUMMYFUNCTION("+C75*$B$2"),160)</f>
        <v>160</v>
      </c>
      <c r="E77" s="55">
        <v>14603.6</v>
      </c>
      <c r="F77" s="56">
        <v>29207.200000000001</v>
      </c>
      <c r="G77" s="18">
        <f ca="1">IFERROR(__xludf.DUMMYFUNCTION("+E75*D75"),2336576)</f>
        <v>2336576</v>
      </c>
      <c r="H77" s="38"/>
      <c r="J77" s="20"/>
      <c r="K77" s="20"/>
      <c r="L77" s="20">
        <f ca="1">IFERROR(__xludf.DUMMYFUNCTION("+J75+K75"),0)</f>
        <v>0</v>
      </c>
      <c r="M77" s="20">
        <f ca="1">IFERROR(__xludf.DUMMYFUNCTION("+L75*$D75"),0)</f>
        <v>0</v>
      </c>
      <c r="O77" s="20"/>
      <c r="P77" s="20"/>
      <c r="Q77" s="20">
        <f ca="1">IFERROR(__xludf.DUMMYFUNCTION("+O75+P75"),0)</f>
        <v>0</v>
      </c>
      <c r="R77" s="20">
        <f ca="1">IFERROR(__xludf.DUMMYFUNCTION("+Q75*$D75"),0)</f>
        <v>0</v>
      </c>
      <c r="T77" s="20"/>
      <c r="U77" s="20"/>
      <c r="V77" s="20">
        <f ca="1">IFERROR(__xludf.DUMMYFUNCTION("+T75+U75"),0)</f>
        <v>0</v>
      </c>
      <c r="W77" s="20">
        <f ca="1">IFERROR(__xludf.DUMMYFUNCTION("+V75*$D75"),0)</f>
        <v>0</v>
      </c>
      <c r="Y77" s="20">
        <v>1963</v>
      </c>
      <c r="Z77" s="20">
        <f ca="1">IFERROR(__xludf.DUMMYFUNCTION("+Y75*19%"),372.97)</f>
        <v>372.97</v>
      </c>
      <c r="AA77" s="20">
        <f ca="1">IFERROR(__xludf.DUMMYFUNCTION("+Y75+Z75"),2335.97)</f>
        <v>2335.9699999999998</v>
      </c>
      <c r="AB77" s="20">
        <f ca="1">IFERROR(__xludf.DUMMYFUNCTION("+AA75*$D75"),373755.2)</f>
        <v>373755.2</v>
      </c>
      <c r="AD77" s="20">
        <v>1500</v>
      </c>
      <c r="AE77" s="20">
        <f ca="1">IFERROR(__xludf.DUMMYFUNCTION("+AD75*19%"),285)</f>
        <v>285</v>
      </c>
      <c r="AF77" s="20">
        <f ca="1">IFERROR(__xludf.DUMMYFUNCTION("+AD75+AE75"),1785)</f>
        <v>1785</v>
      </c>
      <c r="AG77" s="20">
        <f ca="1">IFERROR(__xludf.DUMMYFUNCTION("+AF75*$D75"),285600)</f>
        <v>285600</v>
      </c>
      <c r="AI77" s="20">
        <v>1784.4</v>
      </c>
      <c r="AJ77" s="20">
        <f ca="1">IFERROR(__xludf.DUMMYFUNCTION("+AI75*19%"),339.036)</f>
        <v>339.036</v>
      </c>
      <c r="AK77" s="20">
        <f ca="1">IFERROR(__xludf.DUMMYFUNCTION("+AI75+AJ75"),2123.436)</f>
        <v>2123.4360000000001</v>
      </c>
      <c r="AL77" s="20">
        <f ca="1">IFERROR(__xludf.DUMMYFUNCTION("+AK75*$D75"),339749.76)</f>
        <v>339749.76</v>
      </c>
      <c r="AN77" s="20"/>
      <c r="AO77" s="20"/>
      <c r="AP77" s="20">
        <f ca="1">IFERROR(__xludf.DUMMYFUNCTION("+AN75+AO75"),0)</f>
        <v>0</v>
      </c>
      <c r="AQ77" s="20">
        <f ca="1">IFERROR(__xludf.DUMMYFUNCTION("+AP75*$D75"),0)</f>
        <v>0</v>
      </c>
      <c r="AS77" s="20"/>
      <c r="AT77" s="20"/>
      <c r="AU77" s="20">
        <f ca="1">IFERROR(__xludf.DUMMYFUNCTION("+AS75+AT75"),0)</f>
        <v>0</v>
      </c>
      <c r="AV77" s="20">
        <f ca="1">IFERROR(__xludf.DUMMYFUNCTION("+AU75*$D75"),0)</f>
        <v>0</v>
      </c>
      <c r="AX77" s="20"/>
      <c r="AY77" s="20"/>
      <c r="AZ77" s="20">
        <f ca="1">IFERROR(__xludf.DUMMYFUNCTION("+AX75+AY75"),0)</f>
        <v>0</v>
      </c>
      <c r="BA77" s="20">
        <f ca="1">IFERROR(__xludf.DUMMYFUNCTION("+AZ75*$D75"),0)</f>
        <v>0</v>
      </c>
      <c r="BC77" s="20"/>
      <c r="BD77" s="20"/>
      <c r="BE77" s="20">
        <f ca="1">IFERROR(__xludf.DUMMYFUNCTION("+BC75+BD75"),0)</f>
        <v>0</v>
      </c>
      <c r="BF77" s="20">
        <f ca="1">IFERROR(__xludf.DUMMYFUNCTION("+BE75*$D75"),0)</f>
        <v>0</v>
      </c>
      <c r="BH77" s="20"/>
      <c r="BI77" s="20"/>
      <c r="BJ77" s="20">
        <f ca="1">IFERROR(__xludf.DUMMYFUNCTION("+BH75+BI75"),0)</f>
        <v>0</v>
      </c>
      <c r="BK77" s="20">
        <f ca="1">IFERROR(__xludf.DUMMYFUNCTION("+BJ75*$D75"),0)</f>
        <v>0</v>
      </c>
      <c r="BM77" s="20"/>
      <c r="BN77" s="20"/>
      <c r="BO77" s="20">
        <f ca="1">IFERROR(__xludf.DUMMYFUNCTION("+BH75+BI75"),0)</f>
        <v>0</v>
      </c>
      <c r="BP77" s="20">
        <f ca="1">IFERROR(__xludf.DUMMYFUNCTION("+BJ75*$D75"),0)</f>
        <v>0</v>
      </c>
      <c r="BR77" s="20"/>
      <c r="BS77" s="20"/>
      <c r="BT77" s="20">
        <f ca="1">IFERROR(__xludf.DUMMYFUNCTION("+BH75+BI75"),0)</f>
        <v>0</v>
      </c>
      <c r="BU77" s="20">
        <f ca="1">IFERROR(__xludf.DUMMYFUNCTION("+BJ75*$D75"),0)</f>
        <v>0</v>
      </c>
      <c r="BW77" s="20"/>
      <c r="BX77" s="20"/>
      <c r="BY77" s="20">
        <f ca="1">IFERROR(__xludf.DUMMYFUNCTION("+BH75+BI75"),0)</f>
        <v>0</v>
      </c>
      <c r="BZ77" s="20">
        <f ca="1">IFERROR(__xludf.DUMMYFUNCTION("+BJ75*$D75"),0)</f>
        <v>0</v>
      </c>
      <c r="CB77" s="20"/>
      <c r="CC77" s="20"/>
      <c r="CD77" s="20">
        <f ca="1">IFERROR(__xludf.DUMMYFUNCTION("+BH75+BI75"),0)</f>
        <v>0</v>
      </c>
      <c r="CE77" s="20">
        <f ca="1">IFERROR(__xludf.DUMMYFUNCTION("+BJ75*$D75"),0)</f>
        <v>0</v>
      </c>
      <c r="CG77" s="20"/>
      <c r="CH77" s="20"/>
      <c r="CI77" s="20">
        <f ca="1">IFERROR(__xludf.DUMMYFUNCTION("+BH75+BI75"),0)</f>
        <v>0</v>
      </c>
      <c r="CJ77" s="20">
        <f ca="1">IFERROR(__xludf.DUMMYFUNCTION("+BJ75*$D75"),0)</f>
        <v>0</v>
      </c>
      <c r="CL77" s="20"/>
      <c r="CM77" s="20"/>
      <c r="CN77" s="20">
        <f ca="1">IFERROR(__xludf.DUMMYFUNCTION("+BH75+BI75"),0)</f>
        <v>0</v>
      </c>
      <c r="CO77" s="20">
        <f ca="1">IFERROR(__xludf.DUMMYFUNCTION("+BJ75*$D75"),0)</f>
        <v>0</v>
      </c>
      <c r="CQ77" s="138">
        <f t="shared" ca="1" si="54"/>
        <v>2081.4686666666662</v>
      </c>
    </row>
    <row r="78" spans="1:95" ht="15.75" customHeight="1" x14ac:dyDescent="0.2">
      <c r="A78" s="52" t="s">
        <v>107</v>
      </c>
      <c r="B78" s="53" t="s">
        <v>78</v>
      </c>
      <c r="C78" s="54">
        <v>6</v>
      </c>
      <c r="D78" s="16">
        <f ca="1">IFERROR(__xludf.DUMMYFUNCTION("+C76*$B$2"),480)</f>
        <v>480</v>
      </c>
      <c r="E78" s="55">
        <v>3550.8</v>
      </c>
      <c r="F78" s="56">
        <v>21304.800000000003</v>
      </c>
      <c r="G78" s="18">
        <f ca="1">IFERROR(__xludf.DUMMYFUNCTION("+E76*D76"),1704384)</f>
        <v>1704384</v>
      </c>
      <c r="H78" s="38"/>
      <c r="J78" s="20"/>
      <c r="K78" s="20"/>
      <c r="L78" s="20">
        <f ca="1">IFERROR(__xludf.DUMMYFUNCTION("+J76+K76"),0)</f>
        <v>0</v>
      </c>
      <c r="M78" s="20">
        <f ca="1">IFERROR(__xludf.DUMMYFUNCTION("+L76*$D76"),0)</f>
        <v>0</v>
      </c>
      <c r="O78" s="20"/>
      <c r="P78" s="20"/>
      <c r="Q78" s="20">
        <f ca="1">IFERROR(__xludf.DUMMYFUNCTION("+O76+P76"),0)</f>
        <v>0</v>
      </c>
      <c r="R78" s="20">
        <f ca="1">IFERROR(__xludf.DUMMYFUNCTION("+Q76*$D76"),0)</f>
        <v>0</v>
      </c>
      <c r="T78" s="20"/>
      <c r="U78" s="20"/>
      <c r="V78" s="20">
        <f ca="1">IFERROR(__xludf.DUMMYFUNCTION("+T76+U76"),0)</f>
        <v>0</v>
      </c>
      <c r="W78" s="20">
        <f ca="1">IFERROR(__xludf.DUMMYFUNCTION("+V76*$D76"),0)</f>
        <v>0</v>
      </c>
      <c r="Y78" s="20"/>
      <c r="Z78" s="20"/>
      <c r="AA78" s="20">
        <f ca="1">IFERROR(__xludf.DUMMYFUNCTION("+Y76+Z76"),0)</f>
        <v>0</v>
      </c>
      <c r="AB78" s="20">
        <f ca="1">IFERROR(__xludf.DUMMYFUNCTION("+AA76*$D76"),0)</f>
        <v>0</v>
      </c>
      <c r="AD78" s="20">
        <v>3400</v>
      </c>
      <c r="AE78" s="20">
        <f ca="1">IFERROR(__xludf.DUMMYFUNCTION("+AD76*19%"),646)</f>
        <v>646</v>
      </c>
      <c r="AF78" s="20">
        <f ca="1">IFERROR(__xludf.DUMMYFUNCTION("+AD76+AE76"),4046)</f>
        <v>4046</v>
      </c>
      <c r="AG78" s="20">
        <f ca="1">IFERROR(__xludf.DUMMYFUNCTION("+AF76*$D76"),1942080)</f>
        <v>1942080</v>
      </c>
      <c r="AI78" s="20"/>
      <c r="AJ78" s="20"/>
      <c r="AK78" s="20">
        <f ca="1">IFERROR(__xludf.DUMMYFUNCTION("+AI76+AJ76"),0)</f>
        <v>0</v>
      </c>
      <c r="AL78" s="20">
        <f ca="1">IFERROR(__xludf.DUMMYFUNCTION("+AK76*$D76"),0)</f>
        <v>0</v>
      </c>
      <c r="AN78" s="20"/>
      <c r="AO78" s="20"/>
      <c r="AP78" s="20">
        <f ca="1">IFERROR(__xludf.DUMMYFUNCTION("+AN76+AO76"),0)</f>
        <v>0</v>
      </c>
      <c r="AQ78" s="20">
        <f ca="1">IFERROR(__xludf.DUMMYFUNCTION("+AP76*$D76"),0)</f>
        <v>0</v>
      </c>
      <c r="AS78" s="20"/>
      <c r="AT78" s="20"/>
      <c r="AU78" s="20">
        <f ca="1">IFERROR(__xludf.DUMMYFUNCTION("+AS76+AT76"),0)</f>
        <v>0</v>
      </c>
      <c r="AV78" s="20">
        <f ca="1">IFERROR(__xludf.DUMMYFUNCTION("+AU76*$D76"),0)</f>
        <v>0</v>
      </c>
      <c r="AX78" s="20"/>
      <c r="AY78" s="20"/>
      <c r="AZ78" s="20">
        <f ca="1">IFERROR(__xludf.DUMMYFUNCTION("+AX76+AY76"),0)</f>
        <v>0</v>
      </c>
      <c r="BA78" s="20">
        <f ca="1">IFERROR(__xludf.DUMMYFUNCTION("+AZ76*$D76"),0)</f>
        <v>0</v>
      </c>
      <c r="BC78" s="20"/>
      <c r="BD78" s="20"/>
      <c r="BE78" s="20">
        <f ca="1">IFERROR(__xludf.DUMMYFUNCTION("+BC76+BD76"),0)</f>
        <v>0</v>
      </c>
      <c r="BF78" s="20">
        <f ca="1">IFERROR(__xludf.DUMMYFUNCTION("+BE76*$D76"),0)</f>
        <v>0</v>
      </c>
      <c r="BH78" s="20"/>
      <c r="BI78" s="20"/>
      <c r="BJ78" s="20">
        <f ca="1">IFERROR(__xludf.DUMMYFUNCTION("+BH76+BI76"),0)</f>
        <v>0</v>
      </c>
      <c r="BK78" s="20">
        <f ca="1">IFERROR(__xludf.DUMMYFUNCTION("+BJ76*$D76"),0)</f>
        <v>0</v>
      </c>
      <c r="BM78" s="20"/>
      <c r="BN78" s="20"/>
      <c r="BO78" s="20">
        <f ca="1">IFERROR(__xludf.DUMMYFUNCTION("+BH76+BI76"),0)</f>
        <v>0</v>
      </c>
      <c r="BP78" s="20">
        <f ca="1">IFERROR(__xludf.DUMMYFUNCTION("+BJ76*$D76"),0)</f>
        <v>0</v>
      </c>
      <c r="BR78" s="20"/>
      <c r="BS78" s="20"/>
      <c r="BT78" s="20">
        <f ca="1">IFERROR(__xludf.DUMMYFUNCTION("+BH76+BI76"),0)</f>
        <v>0</v>
      </c>
      <c r="BU78" s="20">
        <f ca="1">IFERROR(__xludf.DUMMYFUNCTION("+BJ76*$D76"),0)</f>
        <v>0</v>
      </c>
      <c r="BW78" s="20"/>
      <c r="BX78" s="20"/>
      <c r="BY78" s="20">
        <f ca="1">IFERROR(__xludf.DUMMYFUNCTION("+BH76+BI76"),0)</f>
        <v>0</v>
      </c>
      <c r="BZ78" s="20">
        <f ca="1">IFERROR(__xludf.DUMMYFUNCTION("+BJ76*$D76"),0)</f>
        <v>0</v>
      </c>
      <c r="CB78" s="20"/>
      <c r="CC78" s="20"/>
      <c r="CD78" s="20">
        <f ca="1">IFERROR(__xludf.DUMMYFUNCTION("+BH76+BI76"),0)</f>
        <v>0</v>
      </c>
      <c r="CE78" s="20">
        <f ca="1">IFERROR(__xludf.DUMMYFUNCTION("+BJ76*$D76"),0)</f>
        <v>0</v>
      </c>
      <c r="CG78" s="20"/>
      <c r="CH78" s="20"/>
      <c r="CI78" s="20">
        <f ca="1">IFERROR(__xludf.DUMMYFUNCTION("+BH76+BI76"),0)</f>
        <v>0</v>
      </c>
      <c r="CJ78" s="20">
        <f ca="1">IFERROR(__xludf.DUMMYFUNCTION("+BJ76*$D76"),0)</f>
        <v>0</v>
      </c>
      <c r="CL78" s="20"/>
      <c r="CM78" s="20"/>
      <c r="CN78" s="20">
        <f ca="1">IFERROR(__xludf.DUMMYFUNCTION("+BH76+BI76"),0)</f>
        <v>0</v>
      </c>
      <c r="CO78" s="20">
        <f ca="1">IFERROR(__xludf.DUMMYFUNCTION("+BJ76*$D76"),0)</f>
        <v>0</v>
      </c>
      <c r="CQ78" s="138">
        <f ca="1">AVERAGE(AF78)</f>
        <v>4046</v>
      </c>
    </row>
    <row r="79" spans="1:95" ht="15.75" customHeight="1" x14ac:dyDescent="0.2">
      <c r="A79" s="52" t="s">
        <v>108</v>
      </c>
      <c r="B79" s="53" t="s">
        <v>78</v>
      </c>
      <c r="C79" s="54">
        <v>12</v>
      </c>
      <c r="D79" s="16">
        <f ca="1">IFERROR(__xludf.DUMMYFUNCTION("+C77*$B$2"),960)</f>
        <v>960</v>
      </c>
      <c r="E79" s="55">
        <v>4205.3</v>
      </c>
      <c r="F79" s="56">
        <v>50463.600000000006</v>
      </c>
      <c r="G79" s="18">
        <f ca="1">IFERROR(__xludf.DUMMYFUNCTION("+E77*D77"),4037088)</f>
        <v>4037088</v>
      </c>
      <c r="H79" s="38"/>
      <c r="J79" s="20"/>
      <c r="K79" s="20"/>
      <c r="L79" s="20">
        <f ca="1">IFERROR(__xludf.DUMMYFUNCTION("+J77+K77"),0)</f>
        <v>0</v>
      </c>
      <c r="M79" s="20">
        <f ca="1">IFERROR(__xludf.DUMMYFUNCTION("+L77*$D77"),0)</f>
        <v>0</v>
      </c>
      <c r="O79" s="20"/>
      <c r="P79" s="20"/>
      <c r="Q79" s="20">
        <f ca="1">IFERROR(__xludf.DUMMYFUNCTION("+O77+P77"),0)</f>
        <v>0</v>
      </c>
      <c r="R79" s="20">
        <f ca="1">IFERROR(__xludf.DUMMYFUNCTION("+Q77*$D77"),0)</f>
        <v>0</v>
      </c>
      <c r="T79" s="20"/>
      <c r="U79" s="20"/>
      <c r="V79" s="20">
        <f ca="1">IFERROR(__xludf.DUMMYFUNCTION("+T77+U77"),0)</f>
        <v>0</v>
      </c>
      <c r="W79" s="20">
        <f ca="1">IFERROR(__xludf.DUMMYFUNCTION("+V77*$D77"),0)</f>
        <v>0</v>
      </c>
      <c r="Y79" s="20"/>
      <c r="Z79" s="20"/>
      <c r="AA79" s="20">
        <f ca="1">IFERROR(__xludf.DUMMYFUNCTION("+Y77+Z77"),0)</f>
        <v>0</v>
      </c>
      <c r="AB79" s="20">
        <f ca="1">IFERROR(__xludf.DUMMYFUNCTION("+AA77*$D77"),0)</f>
        <v>0</v>
      </c>
      <c r="AD79" s="20">
        <v>4500</v>
      </c>
      <c r="AE79" s="20">
        <f ca="1">IFERROR(__xludf.DUMMYFUNCTION("+AD77*19%"),855)</f>
        <v>855</v>
      </c>
      <c r="AF79" s="20">
        <f ca="1">IFERROR(__xludf.DUMMYFUNCTION("+AD77+AE77"),5355)</f>
        <v>5355</v>
      </c>
      <c r="AG79" s="20">
        <f ca="1">IFERROR(__xludf.DUMMYFUNCTION("+AF77*$D77"),5140800)</f>
        <v>5140800</v>
      </c>
      <c r="AI79" s="20"/>
      <c r="AJ79" s="20"/>
      <c r="AK79" s="20">
        <f ca="1">IFERROR(__xludf.DUMMYFUNCTION("+AI77+AJ77"),0)</f>
        <v>0</v>
      </c>
      <c r="AL79" s="20">
        <f ca="1">IFERROR(__xludf.DUMMYFUNCTION("+AK77*$D77"),0)</f>
        <v>0</v>
      </c>
      <c r="AN79" s="20"/>
      <c r="AO79" s="20"/>
      <c r="AP79" s="20">
        <f ca="1">IFERROR(__xludf.DUMMYFUNCTION("+AN77+AO77"),0)</f>
        <v>0</v>
      </c>
      <c r="AQ79" s="20">
        <f ca="1">IFERROR(__xludf.DUMMYFUNCTION("+AP77*$D77"),0)</f>
        <v>0</v>
      </c>
      <c r="AS79" s="20"/>
      <c r="AT79" s="20"/>
      <c r="AU79" s="20">
        <f ca="1">IFERROR(__xludf.DUMMYFUNCTION("+AS77+AT77"),0)</f>
        <v>0</v>
      </c>
      <c r="AV79" s="20">
        <f ca="1">IFERROR(__xludf.DUMMYFUNCTION("+AU77*$D77"),0)</f>
        <v>0</v>
      </c>
      <c r="AX79" s="20"/>
      <c r="AY79" s="20"/>
      <c r="AZ79" s="20">
        <f ca="1">IFERROR(__xludf.DUMMYFUNCTION("+AX77+AY77"),0)</f>
        <v>0</v>
      </c>
      <c r="BA79" s="20">
        <f ca="1">IFERROR(__xludf.DUMMYFUNCTION("+AZ77*$D77"),0)</f>
        <v>0</v>
      </c>
      <c r="BC79" s="20"/>
      <c r="BD79" s="20"/>
      <c r="BE79" s="20">
        <f ca="1">IFERROR(__xludf.DUMMYFUNCTION("+BC77+BD77"),0)</f>
        <v>0</v>
      </c>
      <c r="BF79" s="20">
        <f ca="1">IFERROR(__xludf.DUMMYFUNCTION("+BE77*$D77"),0)</f>
        <v>0</v>
      </c>
      <c r="BH79" s="20"/>
      <c r="BI79" s="20"/>
      <c r="BJ79" s="20">
        <f ca="1">IFERROR(__xludf.DUMMYFUNCTION("+BH77+BI77"),0)</f>
        <v>0</v>
      </c>
      <c r="BK79" s="20">
        <f ca="1">IFERROR(__xludf.DUMMYFUNCTION("+BJ77*$D77"),0)</f>
        <v>0</v>
      </c>
      <c r="BM79" s="20"/>
      <c r="BN79" s="20"/>
      <c r="BO79" s="20">
        <f ca="1">IFERROR(__xludf.DUMMYFUNCTION("+BH77+BI77"),0)</f>
        <v>0</v>
      </c>
      <c r="BP79" s="20">
        <f ca="1">IFERROR(__xludf.DUMMYFUNCTION("+BJ77*$D77"),0)</f>
        <v>0</v>
      </c>
      <c r="BR79" s="20"/>
      <c r="BS79" s="20"/>
      <c r="BT79" s="20">
        <f ca="1">IFERROR(__xludf.DUMMYFUNCTION("+BH77+BI77"),0)</f>
        <v>0</v>
      </c>
      <c r="BU79" s="20">
        <f ca="1">IFERROR(__xludf.DUMMYFUNCTION("+BJ77*$D77"),0)</f>
        <v>0</v>
      </c>
      <c r="BW79" s="20"/>
      <c r="BX79" s="20"/>
      <c r="BY79" s="20">
        <f ca="1">IFERROR(__xludf.DUMMYFUNCTION("+BH77+BI77"),0)</f>
        <v>0</v>
      </c>
      <c r="BZ79" s="20">
        <f ca="1">IFERROR(__xludf.DUMMYFUNCTION("+BJ77*$D77"),0)</f>
        <v>0</v>
      </c>
      <c r="CB79" s="20"/>
      <c r="CC79" s="20"/>
      <c r="CD79" s="20">
        <f ca="1">IFERROR(__xludf.DUMMYFUNCTION("+BH77+BI77"),0)</f>
        <v>0</v>
      </c>
      <c r="CE79" s="20">
        <f ca="1">IFERROR(__xludf.DUMMYFUNCTION("+BJ77*$D77"),0)</f>
        <v>0</v>
      </c>
      <c r="CG79" s="20"/>
      <c r="CH79" s="20"/>
      <c r="CI79" s="20">
        <f ca="1">IFERROR(__xludf.DUMMYFUNCTION("+BH77+BI77"),0)</f>
        <v>0</v>
      </c>
      <c r="CJ79" s="20">
        <f ca="1">IFERROR(__xludf.DUMMYFUNCTION("+BJ77*$D77"),0)</f>
        <v>0</v>
      </c>
      <c r="CL79" s="20"/>
      <c r="CM79" s="20"/>
      <c r="CN79" s="20">
        <f ca="1">IFERROR(__xludf.DUMMYFUNCTION("+BH77+BI77"),0)</f>
        <v>0</v>
      </c>
      <c r="CO79" s="20">
        <f ca="1">IFERROR(__xludf.DUMMYFUNCTION("+BJ77*$D77"),0)</f>
        <v>0</v>
      </c>
      <c r="CQ79" s="138">
        <f ca="1">AVERAGE(AF79)</f>
        <v>5355</v>
      </c>
    </row>
    <row r="80" spans="1:95" ht="15.75" customHeight="1" x14ac:dyDescent="0.2">
      <c r="A80" s="52" t="s">
        <v>109</v>
      </c>
      <c r="B80" s="53" t="s">
        <v>78</v>
      </c>
      <c r="C80" s="54">
        <v>1</v>
      </c>
      <c r="D80" s="16">
        <f ca="1">IFERROR(__xludf.DUMMYFUNCTION("+C78*$B$2"),80)</f>
        <v>80</v>
      </c>
      <c r="E80" s="55">
        <v>7735</v>
      </c>
      <c r="F80" s="56">
        <v>7735</v>
      </c>
      <c r="G80" s="18">
        <f ca="1">IFERROR(__xludf.DUMMYFUNCTION("+E78*D78"),618800)</f>
        <v>618800</v>
      </c>
      <c r="H80" s="38"/>
      <c r="J80" s="20"/>
      <c r="K80" s="20"/>
      <c r="L80" s="20">
        <f ca="1">IFERROR(__xludf.DUMMYFUNCTION("+J78+K78"),0)</f>
        <v>0</v>
      </c>
      <c r="M80" s="20">
        <f ca="1">IFERROR(__xludf.DUMMYFUNCTION("+L78*$D78"),0)</f>
        <v>0</v>
      </c>
      <c r="O80" s="20"/>
      <c r="P80" s="20"/>
      <c r="Q80" s="20">
        <f ca="1">IFERROR(__xludf.DUMMYFUNCTION("+O78+P78"),0)</f>
        <v>0</v>
      </c>
      <c r="R80" s="20">
        <f ca="1">IFERROR(__xludf.DUMMYFUNCTION("+Q78*$D78"),0)</f>
        <v>0</v>
      </c>
      <c r="T80" s="20"/>
      <c r="U80" s="20"/>
      <c r="V80" s="20">
        <f ca="1">IFERROR(__xludf.DUMMYFUNCTION("+T78+U78"),0)</f>
        <v>0</v>
      </c>
      <c r="W80" s="20">
        <f ca="1">IFERROR(__xludf.DUMMYFUNCTION("+V78*$D78"),0)</f>
        <v>0</v>
      </c>
      <c r="Y80" s="20">
        <v>4251</v>
      </c>
      <c r="Z80" s="20">
        <f ca="1">IFERROR(__xludf.DUMMYFUNCTION("+Y78*19%"),807.69)</f>
        <v>807.69</v>
      </c>
      <c r="AA80" s="20">
        <f ca="1">IFERROR(__xludf.DUMMYFUNCTION("+Y78+Z78"),5058.69)</f>
        <v>5058.6899999999996</v>
      </c>
      <c r="AB80" s="20">
        <f ca="1">IFERROR(__xludf.DUMMYFUNCTION("+AA78*$D78"),404695.2)</f>
        <v>404695.2</v>
      </c>
      <c r="AD80" s="20">
        <v>5262</v>
      </c>
      <c r="AE80" s="20">
        <f ca="1">IFERROR(__xludf.DUMMYFUNCTION("+AD78*19%"),999.78)</f>
        <v>999.78</v>
      </c>
      <c r="AF80" s="20">
        <f ca="1">IFERROR(__xludf.DUMMYFUNCTION("+AD78+AE78"),6261.78)</f>
        <v>6261.78</v>
      </c>
      <c r="AG80" s="20">
        <f ca="1">IFERROR(__xludf.DUMMYFUNCTION("+AF78*$D78"),500942.399999999)</f>
        <v>500942.39999999898</v>
      </c>
      <c r="AI80" s="20">
        <v>22154.799999999999</v>
      </c>
      <c r="AJ80" s="20">
        <f ca="1">IFERROR(__xludf.DUMMYFUNCTION("+AI78*19%"),4209.412)</f>
        <v>4209.4120000000003</v>
      </c>
      <c r="AK80" s="20">
        <f ca="1">IFERROR(__xludf.DUMMYFUNCTION("+AI78+AJ78"),26364.212)</f>
        <v>26364.212</v>
      </c>
      <c r="AL80" s="20">
        <f ca="1">IFERROR(__xludf.DUMMYFUNCTION("+AK78*$D78"),2109136.96)</f>
        <v>2109136.96</v>
      </c>
      <c r="AN80" s="20"/>
      <c r="AO80" s="20"/>
      <c r="AP80" s="20">
        <f ca="1">IFERROR(__xludf.DUMMYFUNCTION("+AN78+AO78"),0)</f>
        <v>0</v>
      </c>
      <c r="AQ80" s="20">
        <f ca="1">IFERROR(__xludf.DUMMYFUNCTION("+AP78*$D78"),0)</f>
        <v>0</v>
      </c>
      <c r="AS80" s="20"/>
      <c r="AT80" s="20"/>
      <c r="AU80" s="20">
        <f ca="1">IFERROR(__xludf.DUMMYFUNCTION("+AS78+AT78"),0)</f>
        <v>0</v>
      </c>
      <c r="AV80" s="20">
        <f ca="1">IFERROR(__xludf.DUMMYFUNCTION("+AU78*$D78"),0)</f>
        <v>0</v>
      </c>
      <c r="AX80" s="20"/>
      <c r="AY80" s="20"/>
      <c r="AZ80" s="20">
        <f ca="1">IFERROR(__xludf.DUMMYFUNCTION("+AX78+AY78"),0)</f>
        <v>0</v>
      </c>
      <c r="BA80" s="20">
        <f ca="1">IFERROR(__xludf.DUMMYFUNCTION("+AZ78*$D78"),0)</f>
        <v>0</v>
      </c>
      <c r="BC80" s="20"/>
      <c r="BD80" s="20"/>
      <c r="BE80" s="20">
        <f ca="1">IFERROR(__xludf.DUMMYFUNCTION("+BC78+BD78"),0)</f>
        <v>0</v>
      </c>
      <c r="BF80" s="20">
        <f ca="1">IFERROR(__xludf.DUMMYFUNCTION("+BE78*$D78"),0)</f>
        <v>0</v>
      </c>
      <c r="BH80" s="20"/>
      <c r="BI80" s="20"/>
      <c r="BJ80" s="20">
        <f ca="1">IFERROR(__xludf.DUMMYFUNCTION("+BH78+BI78"),0)</f>
        <v>0</v>
      </c>
      <c r="BK80" s="20">
        <f ca="1">IFERROR(__xludf.DUMMYFUNCTION("+BJ78*$D78"),0)</f>
        <v>0</v>
      </c>
      <c r="BM80" s="20"/>
      <c r="BN80" s="20"/>
      <c r="BO80" s="20">
        <f ca="1">IFERROR(__xludf.DUMMYFUNCTION("+BH78+BI78"),0)</f>
        <v>0</v>
      </c>
      <c r="BP80" s="20">
        <f ca="1">IFERROR(__xludf.DUMMYFUNCTION("+BJ78*$D78"),0)</f>
        <v>0</v>
      </c>
      <c r="BR80" s="20"/>
      <c r="BS80" s="20"/>
      <c r="BT80" s="20">
        <f ca="1">IFERROR(__xludf.DUMMYFUNCTION("+BH78+BI78"),0)</f>
        <v>0</v>
      </c>
      <c r="BU80" s="20">
        <f ca="1">IFERROR(__xludf.DUMMYFUNCTION("+BJ78*$D78"),0)</f>
        <v>0</v>
      </c>
      <c r="BW80" s="20"/>
      <c r="BX80" s="20"/>
      <c r="BY80" s="20">
        <f ca="1">IFERROR(__xludf.DUMMYFUNCTION("+BH78+BI78"),0)</f>
        <v>0</v>
      </c>
      <c r="BZ80" s="20">
        <f ca="1">IFERROR(__xludf.DUMMYFUNCTION("+BJ78*$D78"),0)</f>
        <v>0</v>
      </c>
      <c r="CB80" s="20"/>
      <c r="CC80" s="20"/>
      <c r="CD80" s="20">
        <f ca="1">IFERROR(__xludf.DUMMYFUNCTION("+BH78+BI78"),0)</f>
        <v>0</v>
      </c>
      <c r="CE80" s="20">
        <f ca="1">IFERROR(__xludf.DUMMYFUNCTION("+BJ78*$D78"),0)</f>
        <v>0</v>
      </c>
      <c r="CG80" s="20"/>
      <c r="CH80" s="20"/>
      <c r="CI80" s="20">
        <f ca="1">IFERROR(__xludf.DUMMYFUNCTION("+BH78+BI78"),0)</f>
        <v>0</v>
      </c>
      <c r="CJ80" s="20">
        <f ca="1">IFERROR(__xludf.DUMMYFUNCTION("+BJ78*$D78"),0)</f>
        <v>0</v>
      </c>
      <c r="CL80" s="20"/>
      <c r="CM80" s="20"/>
      <c r="CN80" s="20">
        <f ca="1">IFERROR(__xludf.DUMMYFUNCTION("+BH78+BI78"),0)</f>
        <v>0</v>
      </c>
      <c r="CO80" s="20">
        <f ca="1">IFERROR(__xludf.DUMMYFUNCTION("+BJ78*$D78"),0)</f>
        <v>0</v>
      </c>
      <c r="CQ80" s="138">
        <f ca="1">AVERAGE(AA80,AF80,AK80)</f>
        <v>12561.560666666666</v>
      </c>
    </row>
    <row r="81" spans="1:95" ht="15.75" customHeight="1" x14ac:dyDescent="0.2">
      <c r="A81" s="52" t="s">
        <v>110</v>
      </c>
      <c r="B81" s="53" t="s">
        <v>78</v>
      </c>
      <c r="C81" s="54">
        <v>1</v>
      </c>
      <c r="D81" s="16">
        <f ca="1">IFERROR(__xludf.DUMMYFUNCTION("+C79*$B$2"),80)</f>
        <v>80</v>
      </c>
      <c r="E81" s="55">
        <v>28490.000000000004</v>
      </c>
      <c r="F81" s="56">
        <v>28490.000000000004</v>
      </c>
      <c r="G81" s="18">
        <f ca="1">IFERROR(__xludf.DUMMYFUNCTION("+E79*D79"),2279200)</f>
        <v>2279200</v>
      </c>
      <c r="H81" s="38"/>
      <c r="J81" s="20"/>
      <c r="K81" s="20"/>
      <c r="L81" s="20">
        <f ca="1">IFERROR(__xludf.DUMMYFUNCTION("+J79+K79"),0)</f>
        <v>0</v>
      </c>
      <c r="M81" s="20">
        <f ca="1">IFERROR(__xludf.DUMMYFUNCTION("+L79*$D79"),0)</f>
        <v>0</v>
      </c>
      <c r="O81" s="20"/>
      <c r="P81" s="20"/>
      <c r="Q81" s="20">
        <f ca="1">IFERROR(__xludf.DUMMYFUNCTION("+O79+P79"),0)</f>
        <v>0</v>
      </c>
      <c r="R81" s="20">
        <f ca="1">IFERROR(__xludf.DUMMYFUNCTION("+Q79*$D79"),0)</f>
        <v>0</v>
      </c>
      <c r="T81" s="20"/>
      <c r="U81" s="20"/>
      <c r="V81" s="20">
        <f ca="1">IFERROR(__xludf.DUMMYFUNCTION("+T79+U79"),0)</f>
        <v>0</v>
      </c>
      <c r="W81" s="20">
        <f ca="1">IFERROR(__xludf.DUMMYFUNCTION("+V79*$D79"),0)</f>
        <v>0</v>
      </c>
      <c r="Y81" s="20">
        <v>16145</v>
      </c>
      <c r="Z81" s="20">
        <f ca="1">IFERROR(__xludf.DUMMYFUNCTION("+Y79*19%"),3067.55)</f>
        <v>3067.55</v>
      </c>
      <c r="AA81" s="20">
        <f ca="1">IFERROR(__xludf.DUMMYFUNCTION("+Y79+Z79"),19212.55)</f>
        <v>19212.55</v>
      </c>
      <c r="AB81" s="20">
        <f ca="1">IFERROR(__xludf.DUMMYFUNCTION("+AA79*$D79"),1537004)</f>
        <v>1537004</v>
      </c>
      <c r="AD81" s="20">
        <v>19990</v>
      </c>
      <c r="AE81" s="20">
        <f ca="1">IFERROR(__xludf.DUMMYFUNCTION("+AD79*19%"),3798.1)</f>
        <v>3798.1</v>
      </c>
      <c r="AF81" s="20">
        <f ca="1">IFERROR(__xludf.DUMMYFUNCTION("+AD79+AE79"),23788.1)</f>
        <v>23788.1</v>
      </c>
      <c r="AG81" s="20">
        <f ca="1">IFERROR(__xludf.DUMMYFUNCTION("+AF79*$D79"),1903048)</f>
        <v>1903048</v>
      </c>
      <c r="AI81" s="20">
        <v>14676.8</v>
      </c>
      <c r="AJ81" s="20">
        <f ca="1">IFERROR(__xludf.DUMMYFUNCTION("+AI79*19%"),2788.592)</f>
        <v>2788.5920000000001</v>
      </c>
      <c r="AK81" s="20">
        <f ca="1">IFERROR(__xludf.DUMMYFUNCTION("+AI79+AJ79"),17465.392)</f>
        <v>17465.392</v>
      </c>
      <c r="AL81" s="20">
        <f ca="1">IFERROR(__xludf.DUMMYFUNCTION("+AK79*$D79"),1397231.35999999)</f>
        <v>1397231.3599999901</v>
      </c>
      <c r="AN81" s="20"/>
      <c r="AO81" s="20"/>
      <c r="AP81" s="20">
        <f ca="1">IFERROR(__xludf.DUMMYFUNCTION("+AN79+AO79"),0)</f>
        <v>0</v>
      </c>
      <c r="AQ81" s="20">
        <f ca="1">IFERROR(__xludf.DUMMYFUNCTION("+AP79*$D79"),0)</f>
        <v>0</v>
      </c>
      <c r="AS81" s="20"/>
      <c r="AT81" s="20"/>
      <c r="AU81" s="20">
        <f ca="1">IFERROR(__xludf.DUMMYFUNCTION("+AS79+AT79"),0)</f>
        <v>0</v>
      </c>
      <c r="AV81" s="20">
        <f ca="1">IFERROR(__xludf.DUMMYFUNCTION("+AU79*$D79"),0)</f>
        <v>0</v>
      </c>
      <c r="AX81" s="20"/>
      <c r="AY81" s="20"/>
      <c r="AZ81" s="20">
        <f ca="1">IFERROR(__xludf.DUMMYFUNCTION("+AX79+AY79"),0)</f>
        <v>0</v>
      </c>
      <c r="BA81" s="20">
        <f ca="1">IFERROR(__xludf.DUMMYFUNCTION("+AZ79*$D79"),0)</f>
        <v>0</v>
      </c>
      <c r="BC81" s="20"/>
      <c r="BD81" s="20"/>
      <c r="BE81" s="20">
        <f ca="1">IFERROR(__xludf.DUMMYFUNCTION("+BC79+BD79"),0)</f>
        <v>0</v>
      </c>
      <c r="BF81" s="20">
        <f ca="1">IFERROR(__xludf.DUMMYFUNCTION("+BE79*$D79"),0)</f>
        <v>0</v>
      </c>
      <c r="BH81" s="20"/>
      <c r="BI81" s="20"/>
      <c r="BJ81" s="20">
        <f ca="1">IFERROR(__xludf.DUMMYFUNCTION("+BH79+BI79"),0)</f>
        <v>0</v>
      </c>
      <c r="BK81" s="20">
        <f ca="1">IFERROR(__xludf.DUMMYFUNCTION("+BJ79*$D79"),0)</f>
        <v>0</v>
      </c>
      <c r="BM81" s="20"/>
      <c r="BN81" s="20"/>
      <c r="BO81" s="20">
        <f ca="1">IFERROR(__xludf.DUMMYFUNCTION("+BH79+BI79"),0)</f>
        <v>0</v>
      </c>
      <c r="BP81" s="20">
        <f ca="1">IFERROR(__xludf.DUMMYFUNCTION("+BJ79*$D79"),0)</f>
        <v>0</v>
      </c>
      <c r="BR81" s="20"/>
      <c r="BS81" s="20"/>
      <c r="BT81" s="20">
        <f ca="1">IFERROR(__xludf.DUMMYFUNCTION("+BH79+BI79"),0)</f>
        <v>0</v>
      </c>
      <c r="BU81" s="20">
        <f ca="1">IFERROR(__xludf.DUMMYFUNCTION("+BJ79*$D79"),0)</f>
        <v>0</v>
      </c>
      <c r="BW81" s="20"/>
      <c r="BX81" s="20"/>
      <c r="BY81" s="20">
        <f ca="1">IFERROR(__xludf.DUMMYFUNCTION("+BH79+BI79"),0)</f>
        <v>0</v>
      </c>
      <c r="BZ81" s="20">
        <f ca="1">IFERROR(__xludf.DUMMYFUNCTION("+BJ79*$D79"),0)</f>
        <v>0</v>
      </c>
      <c r="CB81" s="20"/>
      <c r="CC81" s="20"/>
      <c r="CD81" s="20">
        <f ca="1">IFERROR(__xludf.DUMMYFUNCTION("+BH79+BI79"),0)</f>
        <v>0</v>
      </c>
      <c r="CE81" s="20">
        <f ca="1">IFERROR(__xludf.DUMMYFUNCTION("+BJ79*$D79"),0)</f>
        <v>0</v>
      </c>
      <c r="CG81" s="20"/>
      <c r="CH81" s="20"/>
      <c r="CI81" s="20">
        <f ca="1">IFERROR(__xludf.DUMMYFUNCTION("+BH79+BI79"),0)</f>
        <v>0</v>
      </c>
      <c r="CJ81" s="20">
        <f ca="1">IFERROR(__xludf.DUMMYFUNCTION("+BJ79*$D79"),0)</f>
        <v>0</v>
      </c>
      <c r="CL81" s="20"/>
      <c r="CM81" s="20"/>
      <c r="CN81" s="20">
        <f ca="1">IFERROR(__xludf.DUMMYFUNCTION("+BH79+BI79"),0)</f>
        <v>0</v>
      </c>
      <c r="CO81" s="20">
        <f ca="1">IFERROR(__xludf.DUMMYFUNCTION("+BJ79*$D79"),0)</f>
        <v>0</v>
      </c>
      <c r="CQ81" s="138">
        <f t="shared" ca="1" si="54"/>
        <v>20155.347333333331</v>
      </c>
    </row>
    <row r="82" spans="1:95" ht="15.75" customHeight="1" x14ac:dyDescent="0.2">
      <c r="A82" s="52" t="s">
        <v>111</v>
      </c>
      <c r="B82" s="53" t="s">
        <v>78</v>
      </c>
      <c r="C82" s="54">
        <v>400</v>
      </c>
      <c r="D82" s="16">
        <f ca="1">IFERROR(__xludf.DUMMYFUNCTION("+C80*$B$2"),32000)</f>
        <v>32000</v>
      </c>
      <c r="E82" s="55">
        <v>1248</v>
      </c>
      <c r="F82" s="56">
        <v>499200</v>
      </c>
      <c r="G82" s="18">
        <f ca="1">IFERROR(__xludf.DUMMYFUNCTION("+E80*D80"),39936000)</f>
        <v>39936000</v>
      </c>
      <c r="H82" s="38"/>
      <c r="J82" s="20"/>
      <c r="K82" s="20"/>
      <c r="L82" s="20">
        <f ca="1">IFERROR(__xludf.DUMMYFUNCTION("+J80+K80"),0)</f>
        <v>0</v>
      </c>
      <c r="M82" s="20">
        <f ca="1">IFERROR(__xludf.DUMMYFUNCTION("+L80*$D80"),0)</f>
        <v>0</v>
      </c>
      <c r="O82" s="20"/>
      <c r="P82" s="20"/>
      <c r="Q82" s="20">
        <f ca="1">IFERROR(__xludf.DUMMYFUNCTION("+O80+P80"),0)</f>
        <v>0</v>
      </c>
      <c r="R82" s="20">
        <f ca="1">IFERROR(__xludf.DUMMYFUNCTION("+Q80*$D80"),0)</f>
        <v>0</v>
      </c>
      <c r="T82" s="20"/>
      <c r="U82" s="20"/>
      <c r="V82" s="20">
        <f ca="1">IFERROR(__xludf.DUMMYFUNCTION("+T80+U80"),0)</f>
        <v>0</v>
      </c>
      <c r="W82" s="20">
        <f ca="1">IFERROR(__xludf.DUMMYFUNCTION("+V80*$D80"),0)</f>
        <v>0</v>
      </c>
      <c r="Y82" s="20">
        <v>1400</v>
      </c>
      <c r="Z82" s="20">
        <f>Y82*0.19</f>
        <v>266</v>
      </c>
      <c r="AA82" s="20">
        <f>Y82+Z82</f>
        <v>1666</v>
      </c>
      <c r="AB82" s="20">
        <f ca="1">AA82*D82</f>
        <v>53312000</v>
      </c>
      <c r="AD82" s="20">
        <v>1200</v>
      </c>
      <c r="AE82" s="20">
        <f>AD82*0.19</f>
        <v>228</v>
      </c>
      <c r="AF82" s="20">
        <f>AD82+AE82</f>
        <v>1428</v>
      </c>
      <c r="AG82" s="20">
        <f ca="1">D82*AF82</f>
        <v>45696000</v>
      </c>
      <c r="AI82" s="20">
        <v>1100</v>
      </c>
      <c r="AJ82" s="20">
        <f t="shared" ref="AJ82" si="55">AI82*0.19</f>
        <v>209</v>
      </c>
      <c r="AK82" s="20">
        <f t="shared" ref="AK82" si="56">AI82+AJ82</f>
        <v>1309</v>
      </c>
      <c r="AL82" s="20">
        <f ca="1">AK82*D82</f>
        <v>41888000</v>
      </c>
      <c r="AN82" s="20"/>
      <c r="AO82" s="20"/>
      <c r="AP82" s="20">
        <f ca="1">IFERROR(__xludf.DUMMYFUNCTION("+AN80+AO80"),0)</f>
        <v>0</v>
      </c>
      <c r="AQ82" s="20">
        <f ca="1">IFERROR(__xludf.DUMMYFUNCTION("+AP80*$D80"),0)</f>
        <v>0</v>
      </c>
      <c r="AS82" s="20"/>
      <c r="AT82" s="20"/>
      <c r="AU82" s="20">
        <f ca="1">IFERROR(__xludf.DUMMYFUNCTION("+AS80+AT80"),0)</f>
        <v>0</v>
      </c>
      <c r="AV82" s="20">
        <f ca="1">IFERROR(__xludf.DUMMYFUNCTION("+AU80*$D80"),0)</f>
        <v>0</v>
      </c>
      <c r="AX82" s="20"/>
      <c r="AY82" s="20"/>
      <c r="AZ82" s="20">
        <f ca="1">IFERROR(__xludf.DUMMYFUNCTION("+AX80+AY80"),0)</f>
        <v>0</v>
      </c>
      <c r="BA82" s="20">
        <f ca="1">IFERROR(__xludf.DUMMYFUNCTION("+AZ80*$D80"),0)</f>
        <v>0</v>
      </c>
      <c r="BC82" s="20"/>
      <c r="BD82" s="20"/>
      <c r="BE82" s="20">
        <f ca="1">IFERROR(__xludf.DUMMYFUNCTION("+BC80+BD80"),0)</f>
        <v>0</v>
      </c>
      <c r="BF82" s="20">
        <f ca="1">IFERROR(__xludf.DUMMYFUNCTION("+BE80*$D80"),0)</f>
        <v>0</v>
      </c>
      <c r="BH82" s="20"/>
      <c r="BI82" s="20"/>
      <c r="BJ82" s="20">
        <f ca="1">IFERROR(__xludf.DUMMYFUNCTION("+BH80+BI80"),0)</f>
        <v>0</v>
      </c>
      <c r="BK82" s="20">
        <f ca="1">IFERROR(__xludf.DUMMYFUNCTION("+BJ80*$D80"),0)</f>
        <v>0</v>
      </c>
      <c r="BM82" s="20"/>
      <c r="BN82" s="20"/>
      <c r="BO82" s="20">
        <f ca="1">IFERROR(__xludf.DUMMYFUNCTION("+BH80+BI80"),0)</f>
        <v>0</v>
      </c>
      <c r="BP82" s="20">
        <f ca="1">IFERROR(__xludf.DUMMYFUNCTION("+BJ80*$D80"),0)</f>
        <v>0</v>
      </c>
      <c r="BR82" s="20"/>
      <c r="BS82" s="20"/>
      <c r="BT82" s="20">
        <f ca="1">IFERROR(__xludf.DUMMYFUNCTION("+BH80+BI80"),0)</f>
        <v>0</v>
      </c>
      <c r="BU82" s="20">
        <f ca="1">IFERROR(__xludf.DUMMYFUNCTION("+BJ80*$D80"),0)</f>
        <v>0</v>
      </c>
      <c r="BW82" s="20"/>
      <c r="BX82" s="20"/>
      <c r="BY82" s="20">
        <f ca="1">IFERROR(__xludf.DUMMYFUNCTION("+BH80+BI80"),0)</f>
        <v>0</v>
      </c>
      <c r="BZ82" s="20">
        <f ca="1">IFERROR(__xludf.DUMMYFUNCTION("+BJ80*$D80"),0)</f>
        <v>0</v>
      </c>
      <c r="CB82" s="20"/>
      <c r="CC82" s="20"/>
      <c r="CD82" s="20">
        <f ca="1">IFERROR(__xludf.DUMMYFUNCTION("+BH80+BI80"),0)</f>
        <v>0</v>
      </c>
      <c r="CE82" s="20">
        <f ca="1">IFERROR(__xludf.DUMMYFUNCTION("+BJ80*$D80"),0)</f>
        <v>0</v>
      </c>
      <c r="CG82" s="20"/>
      <c r="CH82" s="20"/>
      <c r="CI82" s="20">
        <f ca="1">IFERROR(__xludf.DUMMYFUNCTION("+BH80+BI80"),0)</f>
        <v>0</v>
      </c>
      <c r="CJ82" s="20">
        <f ca="1">IFERROR(__xludf.DUMMYFUNCTION("+BJ80*$D80"),0)</f>
        <v>0</v>
      </c>
      <c r="CL82" s="20"/>
      <c r="CM82" s="20"/>
      <c r="CN82" s="20">
        <f ca="1">IFERROR(__xludf.DUMMYFUNCTION("+BH80+BI80"),0)</f>
        <v>0</v>
      </c>
      <c r="CO82" s="20">
        <f ca="1">IFERROR(__xludf.DUMMYFUNCTION("+BJ80*$D80"),0)</f>
        <v>0</v>
      </c>
      <c r="CQ82" s="138">
        <f t="shared" si="54"/>
        <v>1467.6666666666667</v>
      </c>
    </row>
    <row r="83" spans="1:95" ht="15.75" customHeight="1" x14ac:dyDescent="0.2">
      <c r="A83" s="52" t="s">
        <v>112</v>
      </c>
      <c r="B83" s="53" t="s">
        <v>78</v>
      </c>
      <c r="C83" s="54">
        <v>1</v>
      </c>
      <c r="D83" s="16">
        <f ca="1">IFERROR(__xludf.DUMMYFUNCTION("+C81*$B$2"),80)</f>
        <v>80</v>
      </c>
      <c r="E83" s="55">
        <v>16060.000000000002</v>
      </c>
      <c r="F83" s="56">
        <v>16060.000000000002</v>
      </c>
      <c r="G83" s="18">
        <f ca="1">IFERROR(__xludf.DUMMYFUNCTION("+E81*D81"),1284800)</f>
        <v>1284800</v>
      </c>
      <c r="H83" s="38"/>
      <c r="J83" s="20"/>
      <c r="K83" s="20"/>
      <c r="L83" s="20">
        <f ca="1">IFERROR(__xludf.DUMMYFUNCTION("+J81+K81"),0)</f>
        <v>0</v>
      </c>
      <c r="M83" s="20">
        <f ca="1">IFERROR(__xludf.DUMMYFUNCTION("+L81*$D81"),0)</f>
        <v>0</v>
      </c>
      <c r="O83" s="20"/>
      <c r="P83" s="20"/>
      <c r="Q83" s="20">
        <f ca="1">IFERROR(__xludf.DUMMYFUNCTION("+O81+P81"),0)</f>
        <v>0</v>
      </c>
      <c r="R83" s="20">
        <f ca="1">IFERROR(__xludf.DUMMYFUNCTION("+Q81*$D81"),0)</f>
        <v>0</v>
      </c>
      <c r="T83" s="20"/>
      <c r="U83" s="20"/>
      <c r="V83" s="20">
        <f ca="1">IFERROR(__xludf.DUMMYFUNCTION("+T81+U81"),0)</f>
        <v>0</v>
      </c>
      <c r="W83" s="20">
        <f ca="1">IFERROR(__xludf.DUMMYFUNCTION("+V81*$D81"),0)</f>
        <v>0</v>
      </c>
      <c r="Y83" s="20"/>
      <c r="Z83" s="20"/>
      <c r="AA83" s="20">
        <f ca="1">IFERROR(__xludf.DUMMYFUNCTION("+Y81+Z81"),0)</f>
        <v>0</v>
      </c>
      <c r="AB83" s="20">
        <f ca="1">IFERROR(__xludf.DUMMYFUNCTION("+AA81*$D81"),0)</f>
        <v>0</v>
      </c>
      <c r="AD83" s="20">
        <v>12450</v>
      </c>
      <c r="AE83" s="20">
        <f ca="1">IFERROR(__xludf.DUMMYFUNCTION("+AD81*19%"),2365.5)</f>
        <v>2365.5</v>
      </c>
      <c r="AF83" s="20">
        <f ca="1">IFERROR(__xludf.DUMMYFUNCTION("+AD81+AE81"),14815.5)</f>
        <v>14815.5</v>
      </c>
      <c r="AG83" s="20">
        <f ca="1">IFERROR(__xludf.DUMMYFUNCTION("+AF81*$D81"),1185240)</f>
        <v>1185240</v>
      </c>
      <c r="AI83" s="20">
        <v>41192.800000000003</v>
      </c>
      <c r="AJ83" s="20">
        <f ca="1">IFERROR(__xludf.DUMMYFUNCTION("+AI81*19%"),7826.632)</f>
        <v>7826.6319999999996</v>
      </c>
      <c r="AK83" s="20">
        <f ca="1">IFERROR(__xludf.DUMMYFUNCTION("+AI81+AJ81"),49019.432)</f>
        <v>49019.432000000001</v>
      </c>
      <c r="AL83" s="20">
        <f ca="1">IFERROR(__xludf.DUMMYFUNCTION("+AK81*$D81"),3921554.56)</f>
        <v>3921554.56</v>
      </c>
      <c r="AN83" s="20"/>
      <c r="AO83" s="20"/>
      <c r="AP83" s="20">
        <f ca="1">IFERROR(__xludf.DUMMYFUNCTION("+AN81+AO81"),0)</f>
        <v>0</v>
      </c>
      <c r="AQ83" s="20">
        <f ca="1">IFERROR(__xludf.DUMMYFUNCTION("+AP81*$D81"),0)</f>
        <v>0</v>
      </c>
      <c r="AS83" s="20"/>
      <c r="AT83" s="20"/>
      <c r="AU83" s="20">
        <f ca="1">IFERROR(__xludf.DUMMYFUNCTION("+AS81+AT81"),0)</f>
        <v>0</v>
      </c>
      <c r="AV83" s="20">
        <f ca="1">IFERROR(__xludf.DUMMYFUNCTION("+AU81*$D81"),0)</f>
        <v>0</v>
      </c>
      <c r="AX83" s="20"/>
      <c r="AY83" s="20"/>
      <c r="AZ83" s="20">
        <f ca="1">IFERROR(__xludf.DUMMYFUNCTION("+AX81+AY81"),0)</f>
        <v>0</v>
      </c>
      <c r="BA83" s="20">
        <f ca="1">IFERROR(__xludf.DUMMYFUNCTION("+AZ81*$D81"),0)</f>
        <v>0</v>
      </c>
      <c r="BC83" s="20"/>
      <c r="BD83" s="20"/>
      <c r="BE83" s="20">
        <f ca="1">IFERROR(__xludf.DUMMYFUNCTION("+BC81+BD81"),0)</f>
        <v>0</v>
      </c>
      <c r="BF83" s="20">
        <f ca="1">IFERROR(__xludf.DUMMYFUNCTION("+BE81*$D81"),0)</f>
        <v>0</v>
      </c>
      <c r="BH83" s="20"/>
      <c r="BI83" s="20"/>
      <c r="BJ83" s="20">
        <f ca="1">IFERROR(__xludf.DUMMYFUNCTION("+BH81+BI81"),0)</f>
        <v>0</v>
      </c>
      <c r="BK83" s="20">
        <f ca="1">IFERROR(__xludf.DUMMYFUNCTION("+BJ81*$D81"),0)</f>
        <v>0</v>
      </c>
      <c r="BM83" s="20"/>
      <c r="BN83" s="20"/>
      <c r="BO83" s="20">
        <f ca="1">IFERROR(__xludf.DUMMYFUNCTION("+BH81+BI81"),0)</f>
        <v>0</v>
      </c>
      <c r="BP83" s="20">
        <f ca="1">IFERROR(__xludf.DUMMYFUNCTION("+BJ81*$D81"),0)</f>
        <v>0</v>
      </c>
      <c r="BR83" s="20"/>
      <c r="BS83" s="20"/>
      <c r="BT83" s="20">
        <f ca="1">IFERROR(__xludf.DUMMYFUNCTION("+BH81+BI81"),0)</f>
        <v>0</v>
      </c>
      <c r="BU83" s="20">
        <f ca="1">IFERROR(__xludf.DUMMYFUNCTION("+BJ81*$D81"),0)</f>
        <v>0</v>
      </c>
      <c r="BW83" s="20"/>
      <c r="BX83" s="20"/>
      <c r="BY83" s="20">
        <f ca="1">IFERROR(__xludf.DUMMYFUNCTION("+BH81+BI81"),0)</f>
        <v>0</v>
      </c>
      <c r="BZ83" s="20">
        <f ca="1">IFERROR(__xludf.DUMMYFUNCTION("+BJ81*$D81"),0)</f>
        <v>0</v>
      </c>
      <c r="CB83" s="20"/>
      <c r="CC83" s="20"/>
      <c r="CD83" s="20">
        <f ca="1">IFERROR(__xludf.DUMMYFUNCTION("+BH81+BI81"),0)</f>
        <v>0</v>
      </c>
      <c r="CE83" s="20">
        <f ca="1">IFERROR(__xludf.DUMMYFUNCTION("+BJ81*$D81"),0)</f>
        <v>0</v>
      </c>
      <c r="CG83" s="20"/>
      <c r="CH83" s="20"/>
      <c r="CI83" s="20">
        <f ca="1">IFERROR(__xludf.DUMMYFUNCTION("+BH81+BI81"),0)</f>
        <v>0</v>
      </c>
      <c r="CJ83" s="20">
        <f ca="1">IFERROR(__xludf.DUMMYFUNCTION("+BJ81*$D81"),0)</f>
        <v>0</v>
      </c>
      <c r="CL83" s="20"/>
      <c r="CM83" s="20"/>
      <c r="CN83" s="20">
        <f ca="1">IFERROR(__xludf.DUMMYFUNCTION("+BH81+BI81"),0)</f>
        <v>0</v>
      </c>
      <c r="CO83" s="20">
        <f ca="1">IFERROR(__xludf.DUMMYFUNCTION("+BJ81*$D81"),0)</f>
        <v>0</v>
      </c>
      <c r="CQ83" s="138">
        <f ca="1">AVERAGE(AF83,AK83)</f>
        <v>31917.466</v>
      </c>
    </row>
    <row r="84" spans="1:95" ht="15.75" customHeight="1" x14ac:dyDescent="0.2">
      <c r="A84" s="52" t="s">
        <v>113</v>
      </c>
      <c r="B84" s="53" t="s">
        <v>78</v>
      </c>
      <c r="C84" s="54">
        <v>7</v>
      </c>
      <c r="D84" s="16">
        <f ca="1">IFERROR(__xludf.DUMMYFUNCTION("+C82*$B$2"),560)</f>
        <v>560</v>
      </c>
      <c r="E84" s="55">
        <v>6806.8</v>
      </c>
      <c r="F84" s="56">
        <v>47647.6</v>
      </c>
      <c r="G84" s="18">
        <f ca="1">IFERROR(__xludf.DUMMYFUNCTION("+E82*D82"),3811808)</f>
        <v>3811808</v>
      </c>
      <c r="H84" s="38"/>
      <c r="J84" s="20"/>
      <c r="K84" s="20"/>
      <c r="L84" s="20">
        <f ca="1">IFERROR(__xludf.DUMMYFUNCTION("+J82+K82"),0)</f>
        <v>0</v>
      </c>
      <c r="M84" s="20">
        <f ca="1">IFERROR(__xludf.DUMMYFUNCTION("+L82*$D82"),0)</f>
        <v>0</v>
      </c>
      <c r="O84" s="20"/>
      <c r="P84" s="20"/>
      <c r="Q84" s="20">
        <f ca="1">IFERROR(__xludf.DUMMYFUNCTION("+O82+P82"),0)</f>
        <v>0</v>
      </c>
      <c r="R84" s="20">
        <f ca="1">IFERROR(__xludf.DUMMYFUNCTION("+Q82*$D82"),0)</f>
        <v>0</v>
      </c>
      <c r="T84" s="20"/>
      <c r="U84" s="20"/>
      <c r="V84" s="20">
        <f ca="1">IFERROR(__xludf.DUMMYFUNCTION("+T82+U82"),0)</f>
        <v>0</v>
      </c>
      <c r="W84" s="20">
        <f ca="1">IFERROR(__xludf.DUMMYFUNCTION("+V82*$D82"),0)</f>
        <v>0</v>
      </c>
      <c r="Y84" s="20">
        <v>3344</v>
      </c>
      <c r="Z84" s="20">
        <f ca="1">IFERROR(__xludf.DUMMYFUNCTION("+Y82*19%"),635.36)</f>
        <v>635.36</v>
      </c>
      <c r="AA84" s="20">
        <f ca="1">IFERROR(__xludf.DUMMYFUNCTION("+Y82+Z82"),3979.36)</f>
        <v>3979.36</v>
      </c>
      <c r="AB84" s="20">
        <f ca="1">IFERROR(__xludf.DUMMYFUNCTION("+AA82*$D82"),2228441.6)</f>
        <v>2228441.6</v>
      </c>
      <c r="AD84" s="20">
        <v>2927</v>
      </c>
      <c r="AE84" s="20">
        <f ca="1">IFERROR(__xludf.DUMMYFUNCTION("+AD82*19%"),556.13)</f>
        <v>556.13</v>
      </c>
      <c r="AF84" s="20">
        <f ca="1">IFERROR(__xludf.DUMMYFUNCTION("+AD82+AE82"),3483.13)</f>
        <v>3483.13</v>
      </c>
      <c r="AG84" s="20">
        <f ca="1">IFERROR(__xludf.DUMMYFUNCTION("+AF82*$D82"),1950552.8)</f>
        <v>1950552.8</v>
      </c>
      <c r="AI84" s="20">
        <v>3040.4</v>
      </c>
      <c r="AJ84" s="20">
        <f ca="1">IFERROR(__xludf.DUMMYFUNCTION("+AI82*19%"),577.676)</f>
        <v>577.67600000000004</v>
      </c>
      <c r="AK84" s="20">
        <f ca="1">IFERROR(__xludf.DUMMYFUNCTION("+AI82+AJ82"),3618.076)</f>
        <v>3618.076</v>
      </c>
      <c r="AL84" s="20">
        <f ca="1">IFERROR(__xludf.DUMMYFUNCTION("+AK82*$D82"),2026122.56)</f>
        <v>2026122.56</v>
      </c>
      <c r="AN84" s="20"/>
      <c r="AO84" s="20"/>
      <c r="AP84" s="20">
        <f ca="1">IFERROR(__xludf.DUMMYFUNCTION("+AN82+AO82"),0)</f>
        <v>0</v>
      </c>
      <c r="AQ84" s="20">
        <f ca="1">IFERROR(__xludf.DUMMYFUNCTION("+AP82*$D82"),0)</f>
        <v>0</v>
      </c>
      <c r="AS84" s="20"/>
      <c r="AT84" s="20"/>
      <c r="AU84" s="20">
        <f ca="1">IFERROR(__xludf.DUMMYFUNCTION("+AS82+AT82"),0)</f>
        <v>0</v>
      </c>
      <c r="AV84" s="20">
        <f ca="1">IFERROR(__xludf.DUMMYFUNCTION("+AU82*$D82"),0)</f>
        <v>0</v>
      </c>
      <c r="AX84" s="20"/>
      <c r="AY84" s="20"/>
      <c r="AZ84" s="20">
        <f ca="1">IFERROR(__xludf.DUMMYFUNCTION("+AX82+AY82"),0)</f>
        <v>0</v>
      </c>
      <c r="BA84" s="20">
        <f ca="1">IFERROR(__xludf.DUMMYFUNCTION("+AZ82*$D82"),0)</f>
        <v>0</v>
      </c>
      <c r="BC84" s="20"/>
      <c r="BD84" s="20"/>
      <c r="BE84" s="20">
        <f ca="1">IFERROR(__xludf.DUMMYFUNCTION("+BC82+BD82"),0)</f>
        <v>0</v>
      </c>
      <c r="BF84" s="20">
        <f ca="1">IFERROR(__xludf.DUMMYFUNCTION("+BE82*$D82"),0)</f>
        <v>0</v>
      </c>
      <c r="BH84" s="20"/>
      <c r="BI84" s="20"/>
      <c r="BJ84" s="20">
        <f ca="1">IFERROR(__xludf.DUMMYFUNCTION("+BH82+BI82"),0)</f>
        <v>0</v>
      </c>
      <c r="BK84" s="20">
        <f ca="1">IFERROR(__xludf.DUMMYFUNCTION("+BJ82*$D82"),0)</f>
        <v>0</v>
      </c>
      <c r="BM84" s="20"/>
      <c r="BN84" s="20"/>
      <c r="BO84" s="20">
        <f ca="1">IFERROR(__xludf.DUMMYFUNCTION("+BH82+BI82"),0)</f>
        <v>0</v>
      </c>
      <c r="BP84" s="20">
        <f ca="1">IFERROR(__xludf.DUMMYFUNCTION("+BJ82*$D82"),0)</f>
        <v>0</v>
      </c>
      <c r="BR84" s="20"/>
      <c r="BS84" s="20"/>
      <c r="BT84" s="20">
        <f ca="1">IFERROR(__xludf.DUMMYFUNCTION("+BH82+BI82"),0)</f>
        <v>0</v>
      </c>
      <c r="BU84" s="20">
        <f ca="1">IFERROR(__xludf.DUMMYFUNCTION("+BJ82*$D82"),0)</f>
        <v>0</v>
      </c>
      <c r="BW84" s="20"/>
      <c r="BX84" s="20"/>
      <c r="BY84" s="20">
        <f ca="1">IFERROR(__xludf.DUMMYFUNCTION("+BH82+BI82"),0)</f>
        <v>0</v>
      </c>
      <c r="BZ84" s="20">
        <f ca="1">IFERROR(__xludf.DUMMYFUNCTION("+BJ82*$D82"),0)</f>
        <v>0</v>
      </c>
      <c r="CB84" s="20"/>
      <c r="CC84" s="20"/>
      <c r="CD84" s="20">
        <f ca="1">IFERROR(__xludf.DUMMYFUNCTION("+BH82+BI82"),0)</f>
        <v>0</v>
      </c>
      <c r="CE84" s="20">
        <f ca="1">IFERROR(__xludf.DUMMYFUNCTION("+BJ82*$D82"),0)</f>
        <v>0</v>
      </c>
      <c r="CG84" s="20"/>
      <c r="CH84" s="20"/>
      <c r="CI84" s="20">
        <f ca="1">IFERROR(__xludf.DUMMYFUNCTION("+BH82+BI82"),0)</f>
        <v>0</v>
      </c>
      <c r="CJ84" s="20">
        <f ca="1">IFERROR(__xludf.DUMMYFUNCTION("+BJ82*$D82"),0)</f>
        <v>0</v>
      </c>
      <c r="CL84" s="20"/>
      <c r="CM84" s="20"/>
      <c r="CN84" s="20">
        <f ca="1">IFERROR(__xludf.DUMMYFUNCTION("+BH82+BI82"),0)</f>
        <v>0</v>
      </c>
      <c r="CO84" s="20">
        <f ca="1">IFERROR(__xludf.DUMMYFUNCTION("+BJ82*$D82"),0)</f>
        <v>0</v>
      </c>
      <c r="CQ84" s="138">
        <f ca="1">AVERAGE(AA84,AF84,AK84)</f>
        <v>3693.5219999999995</v>
      </c>
    </row>
    <row r="85" spans="1:95" ht="15.75" customHeight="1" x14ac:dyDescent="0.2">
      <c r="A85" s="52" t="s">
        <v>114</v>
      </c>
      <c r="B85" s="53" t="s">
        <v>78</v>
      </c>
      <c r="C85" s="54">
        <v>2</v>
      </c>
      <c r="D85" s="16">
        <f ca="1">IFERROR(__xludf.DUMMYFUNCTION("+C83*$B$2"),160)</f>
        <v>160</v>
      </c>
      <c r="E85" s="55">
        <v>32558.9</v>
      </c>
      <c r="F85" s="56">
        <v>65117.8</v>
      </c>
      <c r="G85" s="18">
        <f ca="1">IFERROR(__xludf.DUMMYFUNCTION("+E83*D83"),5209424)</f>
        <v>5209424</v>
      </c>
      <c r="H85" s="38"/>
      <c r="J85" s="20"/>
      <c r="K85" s="20"/>
      <c r="L85" s="20">
        <f ca="1">IFERROR(__xludf.DUMMYFUNCTION("+J83+K83"),0)</f>
        <v>0</v>
      </c>
      <c r="M85" s="20">
        <f ca="1">IFERROR(__xludf.DUMMYFUNCTION("+L83*$D83"),0)</f>
        <v>0</v>
      </c>
      <c r="O85" s="20"/>
      <c r="P85" s="20"/>
      <c r="Q85" s="20">
        <f ca="1">IFERROR(__xludf.DUMMYFUNCTION("+O83+P83"),0)</f>
        <v>0</v>
      </c>
      <c r="R85" s="20">
        <f ca="1">IFERROR(__xludf.DUMMYFUNCTION("+Q83*$D83"),0)</f>
        <v>0</v>
      </c>
      <c r="T85" s="20"/>
      <c r="U85" s="20"/>
      <c r="V85" s="20">
        <f ca="1">IFERROR(__xludf.DUMMYFUNCTION("+T83+U83"),0)</f>
        <v>0</v>
      </c>
      <c r="W85" s="20">
        <f ca="1">IFERROR(__xludf.DUMMYFUNCTION("+V83*$D83"),0)</f>
        <v>0</v>
      </c>
      <c r="Y85" s="20">
        <v>14326</v>
      </c>
      <c r="Z85" s="20">
        <f ca="1">IFERROR(__xludf.DUMMYFUNCTION("+Y83*19%"),2721.94)</f>
        <v>2721.94</v>
      </c>
      <c r="AA85" s="20">
        <f ca="1">IFERROR(__xludf.DUMMYFUNCTION("+Y83+Z83"),17047.94)</f>
        <v>17047.939999999999</v>
      </c>
      <c r="AB85" s="20">
        <f ca="1">IFERROR(__xludf.DUMMYFUNCTION("+AA83*$D83"),2727670.4)</f>
        <v>2727670.4</v>
      </c>
      <c r="AD85" s="20">
        <v>16900</v>
      </c>
      <c r="AE85" s="20">
        <f ca="1">IFERROR(__xludf.DUMMYFUNCTION("+AD83*19%"),3211)</f>
        <v>3211</v>
      </c>
      <c r="AF85" s="20">
        <f ca="1">IFERROR(__xludf.DUMMYFUNCTION("+AD83+AE83"),20111)</f>
        <v>20111</v>
      </c>
      <c r="AG85" s="20">
        <f ca="1">IFERROR(__xludf.DUMMYFUNCTION("+AF83*$D83"),3217760)</f>
        <v>3217760</v>
      </c>
      <c r="AI85" s="20">
        <v>13023.6</v>
      </c>
      <c r="AJ85" s="20">
        <f ca="1">IFERROR(__xludf.DUMMYFUNCTION("+AI83*19%"),2474.484)</f>
        <v>2474.4839999999999</v>
      </c>
      <c r="AK85" s="20">
        <f ca="1">IFERROR(__xludf.DUMMYFUNCTION("+AI83+AJ83"),15498.084)</f>
        <v>15498.084000000001</v>
      </c>
      <c r="AL85" s="20">
        <f ca="1">IFERROR(__xludf.DUMMYFUNCTION("+AK83*$D83"),2479693.44)</f>
        <v>2479693.44</v>
      </c>
      <c r="AN85" s="20"/>
      <c r="AO85" s="20"/>
      <c r="AP85" s="20">
        <f ca="1">IFERROR(__xludf.DUMMYFUNCTION("+AN83+AO83"),0)</f>
        <v>0</v>
      </c>
      <c r="AQ85" s="20">
        <f ca="1">IFERROR(__xludf.DUMMYFUNCTION("+AP83*$D83"),0)</f>
        <v>0</v>
      </c>
      <c r="AS85" s="20"/>
      <c r="AT85" s="20"/>
      <c r="AU85" s="20">
        <f ca="1">IFERROR(__xludf.DUMMYFUNCTION("+AS83+AT83"),0)</f>
        <v>0</v>
      </c>
      <c r="AV85" s="20">
        <f ca="1">IFERROR(__xludf.DUMMYFUNCTION("+AU83*$D83"),0)</f>
        <v>0</v>
      </c>
      <c r="AX85" s="20"/>
      <c r="AY85" s="20"/>
      <c r="AZ85" s="20">
        <f ca="1">IFERROR(__xludf.DUMMYFUNCTION("+AX83+AY83"),0)</f>
        <v>0</v>
      </c>
      <c r="BA85" s="20">
        <f ca="1">IFERROR(__xludf.DUMMYFUNCTION("+AZ83*$D83"),0)</f>
        <v>0</v>
      </c>
      <c r="BC85" s="20"/>
      <c r="BD85" s="20"/>
      <c r="BE85" s="20">
        <f ca="1">IFERROR(__xludf.DUMMYFUNCTION("+BC83+BD83"),0)</f>
        <v>0</v>
      </c>
      <c r="BF85" s="20">
        <f ca="1">IFERROR(__xludf.DUMMYFUNCTION("+BE83*$D83"),0)</f>
        <v>0</v>
      </c>
      <c r="BH85" s="20"/>
      <c r="BI85" s="20"/>
      <c r="BJ85" s="20">
        <f ca="1">IFERROR(__xludf.DUMMYFUNCTION("+BH83+BI83"),0)</f>
        <v>0</v>
      </c>
      <c r="BK85" s="20">
        <f ca="1">IFERROR(__xludf.DUMMYFUNCTION("+BJ83*$D83"),0)</f>
        <v>0</v>
      </c>
      <c r="BM85" s="20"/>
      <c r="BN85" s="20"/>
      <c r="BO85" s="20">
        <f ca="1">IFERROR(__xludf.DUMMYFUNCTION("+BH83+BI83"),0)</f>
        <v>0</v>
      </c>
      <c r="BP85" s="20">
        <f ca="1">IFERROR(__xludf.DUMMYFUNCTION("+BJ83*$D83"),0)</f>
        <v>0</v>
      </c>
      <c r="BR85" s="20"/>
      <c r="BS85" s="20"/>
      <c r="BT85" s="20">
        <f ca="1">IFERROR(__xludf.DUMMYFUNCTION("+BH83+BI83"),0)</f>
        <v>0</v>
      </c>
      <c r="BU85" s="20">
        <f ca="1">IFERROR(__xludf.DUMMYFUNCTION("+BJ83*$D83"),0)</f>
        <v>0</v>
      </c>
      <c r="BW85" s="20"/>
      <c r="BX85" s="20"/>
      <c r="BY85" s="20">
        <f ca="1">IFERROR(__xludf.DUMMYFUNCTION("+BH83+BI83"),0)</f>
        <v>0</v>
      </c>
      <c r="BZ85" s="20">
        <f ca="1">IFERROR(__xludf.DUMMYFUNCTION("+BJ83*$D83"),0)</f>
        <v>0</v>
      </c>
      <c r="CB85" s="20"/>
      <c r="CC85" s="20"/>
      <c r="CD85" s="20">
        <f ca="1">IFERROR(__xludf.DUMMYFUNCTION("+BH83+BI83"),0)</f>
        <v>0</v>
      </c>
      <c r="CE85" s="20">
        <f ca="1">IFERROR(__xludf.DUMMYFUNCTION("+BJ83*$D83"),0)</f>
        <v>0</v>
      </c>
      <c r="CG85" s="20"/>
      <c r="CH85" s="20"/>
      <c r="CI85" s="20">
        <f ca="1">IFERROR(__xludf.DUMMYFUNCTION("+BH83+BI83"),0)</f>
        <v>0</v>
      </c>
      <c r="CJ85" s="20">
        <f ca="1">IFERROR(__xludf.DUMMYFUNCTION("+BJ83*$D83"),0)</f>
        <v>0</v>
      </c>
      <c r="CL85" s="20"/>
      <c r="CM85" s="20"/>
      <c r="CN85" s="20">
        <f ca="1">IFERROR(__xludf.DUMMYFUNCTION("+BH83+BI83"),0)</f>
        <v>0</v>
      </c>
      <c r="CO85" s="20">
        <f ca="1">IFERROR(__xludf.DUMMYFUNCTION("+BJ83*$D83"),0)</f>
        <v>0</v>
      </c>
      <c r="CQ85" s="138">
        <f t="shared" ca="1" si="54"/>
        <v>17552.341333333334</v>
      </c>
    </row>
    <row r="86" spans="1:95" ht="15.75" customHeight="1" x14ac:dyDescent="0.2">
      <c r="A86" s="52" t="s">
        <v>115</v>
      </c>
      <c r="B86" s="53" t="s">
        <v>78</v>
      </c>
      <c r="C86" s="54">
        <v>3</v>
      </c>
      <c r="D86" s="16">
        <f ca="1">IFERROR(__xludf.DUMMYFUNCTION("+C84*$B$2"),240)</f>
        <v>240</v>
      </c>
      <c r="E86" s="55">
        <v>70243</v>
      </c>
      <c r="F86" s="56">
        <v>210729</v>
      </c>
      <c r="G86" s="18">
        <f ca="1">IFERROR(__xludf.DUMMYFUNCTION("+E84*D84"),16858320)</f>
        <v>16858320</v>
      </c>
      <c r="H86" s="38"/>
      <c r="J86" s="20"/>
      <c r="K86" s="20"/>
      <c r="L86" s="20">
        <f ca="1">IFERROR(__xludf.DUMMYFUNCTION("+J84+K84"),0)</f>
        <v>0</v>
      </c>
      <c r="M86" s="20">
        <f ca="1">IFERROR(__xludf.DUMMYFUNCTION("+L84*$D84"),0)</f>
        <v>0</v>
      </c>
      <c r="O86" s="20"/>
      <c r="P86" s="20"/>
      <c r="Q86" s="20">
        <f ca="1">IFERROR(__xludf.DUMMYFUNCTION("+O84+P84"),0)</f>
        <v>0</v>
      </c>
      <c r="R86" s="20">
        <f ca="1">IFERROR(__xludf.DUMMYFUNCTION("+Q84*$D84"),0)</f>
        <v>0</v>
      </c>
      <c r="T86" s="20"/>
      <c r="U86" s="20"/>
      <c r="V86" s="20">
        <f ca="1">IFERROR(__xludf.DUMMYFUNCTION("+T84+U84"),0)</f>
        <v>0</v>
      </c>
      <c r="W86" s="20">
        <f ca="1">IFERROR(__xludf.DUMMYFUNCTION("+V84*$D84"),0)</f>
        <v>0</v>
      </c>
      <c r="Y86" s="20">
        <v>36902</v>
      </c>
      <c r="Z86" s="20">
        <f ca="1">IFERROR(__xludf.DUMMYFUNCTION("+Y84*19%"),7011.38)</f>
        <v>7011.38</v>
      </c>
      <c r="AA86" s="20">
        <f ca="1">IFERROR(__xludf.DUMMYFUNCTION("+Y84+Z84"),43913.38)</f>
        <v>43913.38</v>
      </c>
      <c r="AB86" s="20">
        <f ca="1">IFERROR(__xludf.DUMMYFUNCTION("+AA84*$D84"),10539211.2)</f>
        <v>10539211.199999999</v>
      </c>
      <c r="AD86" s="20">
        <v>32950</v>
      </c>
      <c r="AE86" s="20">
        <f ca="1">IFERROR(__xludf.DUMMYFUNCTION("+AD84*19%"),6260.5)</f>
        <v>6260.5</v>
      </c>
      <c r="AF86" s="20">
        <f ca="1">IFERROR(__xludf.DUMMYFUNCTION("+AD84+AE84"),39210.5)</f>
        <v>39210.5</v>
      </c>
      <c r="AG86" s="20">
        <f ca="1">IFERROR(__xludf.DUMMYFUNCTION("+AF84*$D84"),9410520)</f>
        <v>9410520</v>
      </c>
      <c r="AI86" s="20">
        <v>33546.800000000003</v>
      </c>
      <c r="AJ86" s="20">
        <f ca="1">IFERROR(__xludf.DUMMYFUNCTION("+AI84*19%"),6373.892)</f>
        <v>6373.8919999999998</v>
      </c>
      <c r="AK86" s="20">
        <f ca="1">IFERROR(__xludf.DUMMYFUNCTION("+AI84+AJ84"),39920.692)</f>
        <v>39920.692000000003</v>
      </c>
      <c r="AL86" s="20">
        <f ca="1">IFERROR(__xludf.DUMMYFUNCTION("+AK84*$D84"),9580966.08)</f>
        <v>9580966.0800000001</v>
      </c>
      <c r="AN86" s="20"/>
      <c r="AO86" s="20"/>
      <c r="AP86" s="20">
        <f ca="1">IFERROR(__xludf.DUMMYFUNCTION("+AN84+AO84"),0)</f>
        <v>0</v>
      </c>
      <c r="AQ86" s="20">
        <f ca="1">IFERROR(__xludf.DUMMYFUNCTION("+AP84*$D84"),0)</f>
        <v>0</v>
      </c>
      <c r="AS86" s="20"/>
      <c r="AT86" s="20"/>
      <c r="AU86" s="20">
        <f ca="1">IFERROR(__xludf.DUMMYFUNCTION("+AS84+AT84"),0)</f>
        <v>0</v>
      </c>
      <c r="AV86" s="20">
        <f ca="1">IFERROR(__xludf.DUMMYFUNCTION("+AU84*$D84"),0)</f>
        <v>0</v>
      </c>
      <c r="AX86" s="20"/>
      <c r="AY86" s="20"/>
      <c r="AZ86" s="20">
        <f ca="1">IFERROR(__xludf.DUMMYFUNCTION("+AX84+AY84"),0)</f>
        <v>0</v>
      </c>
      <c r="BA86" s="20">
        <f ca="1">IFERROR(__xludf.DUMMYFUNCTION("+AZ84*$D84"),0)</f>
        <v>0</v>
      </c>
      <c r="BC86" s="20"/>
      <c r="BD86" s="20"/>
      <c r="BE86" s="20">
        <f ca="1">IFERROR(__xludf.DUMMYFUNCTION("+BC84+BD84"),0)</f>
        <v>0</v>
      </c>
      <c r="BF86" s="20">
        <f ca="1">IFERROR(__xludf.DUMMYFUNCTION("+BE84*$D84"),0)</f>
        <v>0</v>
      </c>
      <c r="BH86" s="20"/>
      <c r="BI86" s="20"/>
      <c r="BJ86" s="20">
        <f ca="1">IFERROR(__xludf.DUMMYFUNCTION("+BH84+BI84"),0)</f>
        <v>0</v>
      </c>
      <c r="BK86" s="20">
        <f ca="1">IFERROR(__xludf.DUMMYFUNCTION("+BJ84*$D84"),0)</f>
        <v>0</v>
      </c>
      <c r="BM86" s="20"/>
      <c r="BN86" s="20"/>
      <c r="BO86" s="20">
        <f ca="1">IFERROR(__xludf.DUMMYFUNCTION("+BH84+BI84"),0)</f>
        <v>0</v>
      </c>
      <c r="BP86" s="20">
        <f ca="1">IFERROR(__xludf.DUMMYFUNCTION("+BJ84*$D84"),0)</f>
        <v>0</v>
      </c>
      <c r="BR86" s="20"/>
      <c r="BS86" s="20"/>
      <c r="BT86" s="20">
        <f ca="1">IFERROR(__xludf.DUMMYFUNCTION("+BH84+BI84"),0)</f>
        <v>0</v>
      </c>
      <c r="BU86" s="20">
        <f ca="1">IFERROR(__xludf.DUMMYFUNCTION("+BJ84*$D84"),0)</f>
        <v>0</v>
      </c>
      <c r="BW86" s="20"/>
      <c r="BX86" s="20"/>
      <c r="BY86" s="20">
        <f ca="1">IFERROR(__xludf.DUMMYFUNCTION("+BH84+BI84"),0)</f>
        <v>0</v>
      </c>
      <c r="BZ86" s="20">
        <f ca="1">IFERROR(__xludf.DUMMYFUNCTION("+BJ84*$D84"),0)</f>
        <v>0</v>
      </c>
      <c r="CB86" s="20"/>
      <c r="CC86" s="20"/>
      <c r="CD86" s="20">
        <f ca="1">IFERROR(__xludf.DUMMYFUNCTION("+BH84+BI84"),0)</f>
        <v>0</v>
      </c>
      <c r="CE86" s="20">
        <f ca="1">IFERROR(__xludf.DUMMYFUNCTION("+BJ84*$D84"),0)</f>
        <v>0</v>
      </c>
      <c r="CG86" s="20"/>
      <c r="CH86" s="20"/>
      <c r="CI86" s="20">
        <f ca="1">IFERROR(__xludf.DUMMYFUNCTION("+BH84+BI84"),0)</f>
        <v>0</v>
      </c>
      <c r="CJ86" s="20">
        <f ca="1">IFERROR(__xludf.DUMMYFUNCTION("+BJ84*$D84"),0)</f>
        <v>0</v>
      </c>
      <c r="CL86" s="20"/>
      <c r="CM86" s="20"/>
      <c r="CN86" s="20">
        <f ca="1">IFERROR(__xludf.DUMMYFUNCTION("+BH84+BI84"),0)</f>
        <v>0</v>
      </c>
      <c r="CO86" s="20">
        <f ca="1">IFERROR(__xludf.DUMMYFUNCTION("+BJ84*$D84"),0)</f>
        <v>0</v>
      </c>
      <c r="CQ86" s="138">
        <f t="shared" ca="1" si="54"/>
        <v>41014.857333333341</v>
      </c>
    </row>
    <row r="87" spans="1:95" ht="15.75" customHeight="1" x14ac:dyDescent="0.2">
      <c r="A87" s="52" t="s">
        <v>116</v>
      </c>
      <c r="B87" s="53" t="s">
        <v>78</v>
      </c>
      <c r="C87" s="54">
        <v>2</v>
      </c>
      <c r="D87" s="16">
        <f ca="1">IFERROR(__xludf.DUMMYFUNCTION("+C85*$B$2"),160)</f>
        <v>160</v>
      </c>
      <c r="E87" s="55">
        <v>23832.600000000002</v>
      </c>
      <c r="F87" s="56">
        <v>47665.200000000004</v>
      </c>
      <c r="G87" s="18">
        <f ca="1">IFERROR(__xludf.DUMMYFUNCTION("+E85*D85"),3813216)</f>
        <v>3813216</v>
      </c>
      <c r="H87" s="38"/>
      <c r="J87" s="20"/>
      <c r="K87" s="20"/>
      <c r="L87" s="20">
        <f ca="1">IFERROR(__xludf.DUMMYFUNCTION("+J85+K85"),0)</f>
        <v>0</v>
      </c>
      <c r="M87" s="20">
        <f ca="1">IFERROR(__xludf.DUMMYFUNCTION("+L85*$D85"),0)</f>
        <v>0</v>
      </c>
      <c r="O87" s="20"/>
      <c r="P87" s="20"/>
      <c r="Q87" s="20">
        <f ca="1">IFERROR(__xludf.DUMMYFUNCTION("+O85+P85"),0)</f>
        <v>0</v>
      </c>
      <c r="R87" s="20">
        <f ca="1">IFERROR(__xludf.DUMMYFUNCTION("+Q85*$D85"),0)</f>
        <v>0</v>
      </c>
      <c r="T87" s="20"/>
      <c r="U87" s="20"/>
      <c r="V87" s="20">
        <f ca="1">IFERROR(__xludf.DUMMYFUNCTION("+T85+U85"),0)</f>
        <v>0</v>
      </c>
      <c r="W87" s="20">
        <f ca="1">IFERROR(__xludf.DUMMYFUNCTION("+V85*$D85"),0)</f>
        <v>0</v>
      </c>
      <c r="Y87" s="20">
        <v>17371</v>
      </c>
      <c r="Z87" s="20">
        <f ca="1">IFERROR(__xludf.DUMMYFUNCTION("+Y85*19%"),3300.49)</f>
        <v>3300.49</v>
      </c>
      <c r="AA87" s="20">
        <f ca="1">IFERROR(__xludf.DUMMYFUNCTION("+Y85+Z85"),20671.49)</f>
        <v>20671.490000000002</v>
      </c>
      <c r="AB87" s="20">
        <f ca="1">IFERROR(__xludf.DUMMYFUNCTION("+AA85*$D85"),3307438.4)</f>
        <v>3307438.4</v>
      </c>
      <c r="AD87" s="20">
        <v>7950</v>
      </c>
      <c r="AE87" s="20">
        <f ca="1">IFERROR(__xludf.DUMMYFUNCTION("+AD85*19%"),1510.5)</f>
        <v>1510.5</v>
      </c>
      <c r="AF87" s="20">
        <f ca="1">IFERROR(__xludf.DUMMYFUNCTION("+AD85+AE85"),9460.5)</f>
        <v>9460.5</v>
      </c>
      <c r="AG87" s="20">
        <f ca="1">IFERROR(__xludf.DUMMYFUNCTION("+AF85*$D85"),1513680)</f>
        <v>1513680</v>
      </c>
      <c r="AI87" s="20"/>
      <c r="AJ87" s="20"/>
      <c r="AK87" s="20">
        <f ca="1">IFERROR(__xludf.DUMMYFUNCTION("+AI85+AJ85"),0)</f>
        <v>0</v>
      </c>
      <c r="AL87" s="20">
        <f ca="1">IFERROR(__xludf.DUMMYFUNCTION("+AK85*$D85"),0)</f>
        <v>0</v>
      </c>
      <c r="AN87" s="20"/>
      <c r="AO87" s="20"/>
      <c r="AP87" s="20">
        <f ca="1">IFERROR(__xludf.DUMMYFUNCTION("+AN85+AO85"),0)</f>
        <v>0</v>
      </c>
      <c r="AQ87" s="20">
        <f ca="1">IFERROR(__xludf.DUMMYFUNCTION("+AP85*$D85"),0)</f>
        <v>0</v>
      </c>
      <c r="AS87" s="20"/>
      <c r="AT87" s="20"/>
      <c r="AU87" s="20">
        <f ca="1">IFERROR(__xludf.DUMMYFUNCTION("+AS85+AT85"),0)</f>
        <v>0</v>
      </c>
      <c r="AV87" s="20">
        <f ca="1">IFERROR(__xludf.DUMMYFUNCTION("+AU85*$D85"),0)</f>
        <v>0</v>
      </c>
      <c r="AX87" s="20"/>
      <c r="AY87" s="20"/>
      <c r="AZ87" s="20">
        <f ca="1">IFERROR(__xludf.DUMMYFUNCTION("+AX85+AY85"),0)</f>
        <v>0</v>
      </c>
      <c r="BA87" s="20">
        <f ca="1">IFERROR(__xludf.DUMMYFUNCTION("+AZ85*$D85"),0)</f>
        <v>0</v>
      </c>
      <c r="BC87" s="20"/>
      <c r="BD87" s="20"/>
      <c r="BE87" s="20">
        <f ca="1">IFERROR(__xludf.DUMMYFUNCTION("+BC85+BD85"),0)</f>
        <v>0</v>
      </c>
      <c r="BF87" s="20">
        <f ca="1">IFERROR(__xludf.DUMMYFUNCTION("+BE85*$D85"),0)</f>
        <v>0</v>
      </c>
      <c r="BH87" s="20"/>
      <c r="BI87" s="20"/>
      <c r="BJ87" s="20">
        <f ca="1">IFERROR(__xludf.DUMMYFUNCTION("+BH85+BI85"),0)</f>
        <v>0</v>
      </c>
      <c r="BK87" s="20">
        <f ca="1">IFERROR(__xludf.DUMMYFUNCTION("+BJ85*$D85"),0)</f>
        <v>0</v>
      </c>
      <c r="BM87" s="20"/>
      <c r="BN87" s="20"/>
      <c r="BO87" s="20">
        <f ca="1">IFERROR(__xludf.DUMMYFUNCTION("+BH85+BI85"),0)</f>
        <v>0</v>
      </c>
      <c r="BP87" s="20">
        <f ca="1">IFERROR(__xludf.DUMMYFUNCTION("+BJ85*$D85"),0)</f>
        <v>0</v>
      </c>
      <c r="BR87" s="20"/>
      <c r="BS87" s="20"/>
      <c r="BT87" s="20">
        <f ca="1">IFERROR(__xludf.DUMMYFUNCTION("+BH85+BI85"),0)</f>
        <v>0</v>
      </c>
      <c r="BU87" s="20">
        <f ca="1">IFERROR(__xludf.DUMMYFUNCTION("+BJ85*$D85"),0)</f>
        <v>0</v>
      </c>
      <c r="BW87" s="20"/>
      <c r="BX87" s="20"/>
      <c r="BY87" s="20">
        <f ca="1">IFERROR(__xludf.DUMMYFUNCTION("+BH85+BI85"),0)</f>
        <v>0</v>
      </c>
      <c r="BZ87" s="20">
        <f ca="1">IFERROR(__xludf.DUMMYFUNCTION("+BJ85*$D85"),0)</f>
        <v>0</v>
      </c>
      <c r="CB87" s="20"/>
      <c r="CC87" s="20"/>
      <c r="CD87" s="20">
        <f ca="1">IFERROR(__xludf.DUMMYFUNCTION("+BH85+BI85"),0)</f>
        <v>0</v>
      </c>
      <c r="CE87" s="20">
        <f ca="1">IFERROR(__xludf.DUMMYFUNCTION("+BJ85*$D85"),0)</f>
        <v>0</v>
      </c>
      <c r="CG87" s="20"/>
      <c r="CH87" s="20"/>
      <c r="CI87" s="20">
        <f ca="1">IFERROR(__xludf.DUMMYFUNCTION("+BH85+BI85"),0)</f>
        <v>0</v>
      </c>
      <c r="CJ87" s="20">
        <f ca="1">IFERROR(__xludf.DUMMYFUNCTION("+BJ85*$D85"),0)</f>
        <v>0</v>
      </c>
      <c r="CL87" s="20"/>
      <c r="CM87" s="20"/>
      <c r="CN87" s="20">
        <f ca="1">IFERROR(__xludf.DUMMYFUNCTION("+BH85+BI85"),0)</f>
        <v>0</v>
      </c>
      <c r="CO87" s="20">
        <f ca="1">IFERROR(__xludf.DUMMYFUNCTION("+BJ85*$D85"),0)</f>
        <v>0</v>
      </c>
      <c r="CQ87" s="138">
        <f ca="1">AVERAGE(AA87,AF87)</f>
        <v>15065.995000000001</v>
      </c>
    </row>
    <row r="88" spans="1:95" ht="15.75" customHeight="1" x14ac:dyDescent="0.2">
      <c r="A88" s="52" t="s">
        <v>117</v>
      </c>
      <c r="B88" s="53" t="s">
        <v>78</v>
      </c>
      <c r="C88" s="54">
        <v>2</v>
      </c>
      <c r="D88" s="16">
        <f ca="1">IFERROR(__xludf.DUMMYFUNCTION("+C86*$B$2"),160)</f>
        <v>160</v>
      </c>
      <c r="E88" s="55">
        <v>53669.000000000007</v>
      </c>
      <c r="F88" s="56">
        <v>107338.00000000001</v>
      </c>
      <c r="G88" s="18">
        <f ca="1">IFERROR(__xludf.DUMMYFUNCTION("+E86*D86"),8587040)</f>
        <v>8587040</v>
      </c>
      <c r="H88" s="38"/>
      <c r="J88" s="20"/>
      <c r="K88" s="20"/>
      <c r="L88" s="20">
        <f ca="1">IFERROR(__xludf.DUMMYFUNCTION("+J86+K86"),0)</f>
        <v>0</v>
      </c>
      <c r="M88" s="20">
        <f ca="1">IFERROR(__xludf.DUMMYFUNCTION("+L86*$D86"),0)</f>
        <v>0</v>
      </c>
      <c r="O88" s="20"/>
      <c r="P88" s="20"/>
      <c r="Q88" s="20">
        <f ca="1">IFERROR(__xludf.DUMMYFUNCTION("+O86+P86"),0)</f>
        <v>0</v>
      </c>
      <c r="R88" s="20">
        <f ca="1">IFERROR(__xludf.DUMMYFUNCTION("+Q86*$D86"),0)</f>
        <v>0</v>
      </c>
      <c r="T88" s="20"/>
      <c r="U88" s="20"/>
      <c r="V88" s="20">
        <f ca="1">IFERROR(__xludf.DUMMYFUNCTION("+T86+U86"),0)</f>
        <v>0</v>
      </c>
      <c r="W88" s="20">
        <f ca="1">IFERROR(__xludf.DUMMYFUNCTION("+V86*$D86"),0)</f>
        <v>0</v>
      </c>
      <c r="Y88" s="20">
        <v>47431</v>
      </c>
      <c r="Z88" s="20">
        <f ca="1">IFERROR(__xludf.DUMMYFUNCTION("+Y86*19%"),9011.89)</f>
        <v>9011.89</v>
      </c>
      <c r="AA88" s="20">
        <f ca="1">IFERROR(__xludf.DUMMYFUNCTION("+Y86+Z86"),56442.89)</f>
        <v>56442.89</v>
      </c>
      <c r="AB88" s="20">
        <f ca="1">IFERROR(__xludf.DUMMYFUNCTION("+AA86*$D86"),9030862.4)</f>
        <v>9030862.4000000004</v>
      </c>
      <c r="AD88" s="20">
        <v>14950</v>
      </c>
      <c r="AE88" s="20">
        <f ca="1">IFERROR(__xludf.DUMMYFUNCTION("+AD86*19%"),2840.5)</f>
        <v>2840.5</v>
      </c>
      <c r="AF88" s="20">
        <f ca="1">IFERROR(__xludf.DUMMYFUNCTION("+AD86+AE86"),17790.5)</f>
        <v>17790.5</v>
      </c>
      <c r="AG88" s="20">
        <f ca="1">IFERROR(__xludf.DUMMYFUNCTION("+AF86*$D86"),2846480)</f>
        <v>2846480</v>
      </c>
      <c r="AI88" s="20"/>
      <c r="AJ88" s="20"/>
      <c r="AK88" s="20">
        <f ca="1">IFERROR(__xludf.DUMMYFUNCTION("+AI86+AJ86"),0)</f>
        <v>0</v>
      </c>
      <c r="AL88" s="20">
        <f ca="1">IFERROR(__xludf.DUMMYFUNCTION("+AK86*$D86"),0)</f>
        <v>0</v>
      </c>
      <c r="AN88" s="20"/>
      <c r="AO88" s="20"/>
      <c r="AP88" s="20">
        <f ca="1">IFERROR(__xludf.DUMMYFUNCTION("+AN86+AO86"),0)</f>
        <v>0</v>
      </c>
      <c r="AQ88" s="20">
        <f ca="1">IFERROR(__xludf.DUMMYFUNCTION("+AP86*$D86"),0)</f>
        <v>0</v>
      </c>
      <c r="AS88" s="20"/>
      <c r="AT88" s="20"/>
      <c r="AU88" s="20">
        <f ca="1">IFERROR(__xludf.DUMMYFUNCTION("+AS86+AT86"),0)</f>
        <v>0</v>
      </c>
      <c r="AV88" s="20">
        <f ca="1">IFERROR(__xludf.DUMMYFUNCTION("+AU86*$D86"),0)</f>
        <v>0</v>
      </c>
      <c r="AX88" s="20"/>
      <c r="AY88" s="20"/>
      <c r="AZ88" s="20">
        <f ca="1">IFERROR(__xludf.DUMMYFUNCTION("+AX86+AY86"),0)</f>
        <v>0</v>
      </c>
      <c r="BA88" s="20">
        <f ca="1">IFERROR(__xludf.DUMMYFUNCTION("+AZ86*$D86"),0)</f>
        <v>0</v>
      </c>
      <c r="BC88" s="20"/>
      <c r="BD88" s="20"/>
      <c r="BE88" s="20">
        <f ca="1">IFERROR(__xludf.DUMMYFUNCTION("+BC86+BD86"),0)</f>
        <v>0</v>
      </c>
      <c r="BF88" s="20">
        <f ca="1">IFERROR(__xludf.DUMMYFUNCTION("+BE86*$D86"),0)</f>
        <v>0</v>
      </c>
      <c r="BH88" s="20"/>
      <c r="BI88" s="20"/>
      <c r="BJ88" s="20">
        <f ca="1">IFERROR(__xludf.DUMMYFUNCTION("+BH86+BI86"),0)</f>
        <v>0</v>
      </c>
      <c r="BK88" s="20">
        <f ca="1">IFERROR(__xludf.DUMMYFUNCTION("+BJ86*$D86"),0)</f>
        <v>0</v>
      </c>
      <c r="BM88" s="20"/>
      <c r="BN88" s="20"/>
      <c r="BO88" s="20">
        <f ca="1">IFERROR(__xludf.DUMMYFUNCTION("+BH86+BI86"),0)</f>
        <v>0</v>
      </c>
      <c r="BP88" s="20">
        <f ca="1">IFERROR(__xludf.DUMMYFUNCTION("+BJ86*$D86"),0)</f>
        <v>0</v>
      </c>
      <c r="BR88" s="20"/>
      <c r="BS88" s="20"/>
      <c r="BT88" s="20">
        <f ca="1">IFERROR(__xludf.DUMMYFUNCTION("+BH86+BI86"),0)</f>
        <v>0</v>
      </c>
      <c r="BU88" s="20">
        <f ca="1">IFERROR(__xludf.DUMMYFUNCTION("+BJ86*$D86"),0)</f>
        <v>0</v>
      </c>
      <c r="BW88" s="20"/>
      <c r="BX88" s="20"/>
      <c r="BY88" s="20">
        <f ca="1">IFERROR(__xludf.DUMMYFUNCTION("+BH86+BI86"),0)</f>
        <v>0</v>
      </c>
      <c r="BZ88" s="20">
        <f ca="1">IFERROR(__xludf.DUMMYFUNCTION("+BJ86*$D86"),0)</f>
        <v>0</v>
      </c>
      <c r="CB88" s="20"/>
      <c r="CC88" s="20"/>
      <c r="CD88" s="20">
        <f ca="1">IFERROR(__xludf.DUMMYFUNCTION("+BH86+BI86"),0)</f>
        <v>0</v>
      </c>
      <c r="CE88" s="20">
        <f ca="1">IFERROR(__xludf.DUMMYFUNCTION("+BJ86*$D86"),0)</f>
        <v>0</v>
      </c>
      <c r="CG88" s="20"/>
      <c r="CH88" s="20"/>
      <c r="CI88" s="20">
        <f ca="1">IFERROR(__xludf.DUMMYFUNCTION("+BH86+BI86"),0)</f>
        <v>0</v>
      </c>
      <c r="CJ88" s="20">
        <f ca="1">IFERROR(__xludf.DUMMYFUNCTION("+BJ86*$D86"),0)</f>
        <v>0</v>
      </c>
      <c r="CL88" s="20"/>
      <c r="CM88" s="20"/>
      <c r="CN88" s="20">
        <f ca="1">IFERROR(__xludf.DUMMYFUNCTION("+BH86+BI86"),0)</f>
        <v>0</v>
      </c>
      <c r="CO88" s="20">
        <f ca="1">IFERROR(__xludf.DUMMYFUNCTION("+BJ86*$D86"),0)</f>
        <v>0</v>
      </c>
      <c r="CQ88" s="138">
        <f ca="1">AVERAGE(AA88,AF88)</f>
        <v>37116.695</v>
      </c>
    </row>
    <row r="89" spans="1:95" ht="15.75" customHeight="1" x14ac:dyDescent="0.2">
      <c r="A89" s="57" t="s">
        <v>118</v>
      </c>
      <c r="B89" s="53" t="s">
        <v>78</v>
      </c>
      <c r="C89" s="54">
        <v>2</v>
      </c>
      <c r="D89" s="16">
        <f ca="1">IFERROR(__xludf.DUMMYFUNCTION("+C87*$B$2"),160)</f>
        <v>160</v>
      </c>
      <c r="E89" s="55">
        <v>20027.7</v>
      </c>
      <c r="F89" s="56">
        <v>40055.4</v>
      </c>
      <c r="G89" s="18">
        <f ca="1">IFERROR(__xludf.DUMMYFUNCTION("+E87*D87"),3204432)</f>
        <v>3204432</v>
      </c>
      <c r="H89" s="38"/>
      <c r="J89" s="20"/>
      <c r="K89" s="20"/>
      <c r="L89" s="20">
        <f ca="1">IFERROR(__xludf.DUMMYFUNCTION("+J87+K87"),0)</f>
        <v>0</v>
      </c>
      <c r="M89" s="20">
        <f ca="1">IFERROR(__xludf.DUMMYFUNCTION("+L87*$D87"),0)</f>
        <v>0</v>
      </c>
      <c r="O89" s="20"/>
      <c r="P89" s="20"/>
      <c r="Q89" s="20">
        <f ca="1">IFERROR(__xludf.DUMMYFUNCTION("+O87+P87"),0)</f>
        <v>0</v>
      </c>
      <c r="R89" s="20">
        <f ca="1">IFERROR(__xludf.DUMMYFUNCTION("+Q87*$D87"),0)</f>
        <v>0</v>
      </c>
      <c r="T89" s="20"/>
      <c r="U89" s="20"/>
      <c r="V89" s="20">
        <f ca="1">IFERROR(__xludf.DUMMYFUNCTION("+T87+U87"),0)</f>
        <v>0</v>
      </c>
      <c r="W89" s="20">
        <f ca="1">IFERROR(__xludf.DUMMYFUNCTION("+V87*$D87"),0)</f>
        <v>0</v>
      </c>
      <c r="Y89" s="20">
        <v>6016</v>
      </c>
      <c r="Z89" s="20">
        <f ca="1">IFERROR(__xludf.DUMMYFUNCTION("+Y87*19%"),1143.04)</f>
        <v>1143.04</v>
      </c>
      <c r="AA89" s="20">
        <f ca="1">IFERROR(__xludf.DUMMYFUNCTION("+Y87+Z87"),7159.04)</f>
        <v>7159.04</v>
      </c>
      <c r="AB89" s="20">
        <f ca="1">IFERROR(__xludf.DUMMYFUNCTION("+AA87*$D87"),1145446.4)</f>
        <v>1145446.3999999999</v>
      </c>
      <c r="AD89" s="20">
        <v>9900</v>
      </c>
      <c r="AE89" s="20">
        <f ca="1">IFERROR(__xludf.DUMMYFUNCTION("+AD87*19%"),1881)</f>
        <v>1881</v>
      </c>
      <c r="AF89" s="20">
        <f ca="1">IFERROR(__xludf.DUMMYFUNCTION("+AD87+AE87"),11781)</f>
        <v>11781</v>
      </c>
      <c r="AG89" s="20">
        <f ca="1">IFERROR(__xludf.DUMMYFUNCTION("+AF87*$D87"),1884960)</f>
        <v>1884960</v>
      </c>
      <c r="AI89" s="20">
        <v>5469.2</v>
      </c>
      <c r="AJ89" s="20">
        <f ca="1">IFERROR(__xludf.DUMMYFUNCTION("+AI87*19%"),1039.148)</f>
        <v>1039.1479999999999</v>
      </c>
      <c r="AK89" s="20">
        <f ca="1">IFERROR(__xludf.DUMMYFUNCTION("+AI87+AJ87"),6508.348)</f>
        <v>6508.348</v>
      </c>
      <c r="AL89" s="20">
        <f ca="1">IFERROR(__xludf.DUMMYFUNCTION("+AK87*$D87"),1041335.67999999)</f>
        <v>1041335.67999999</v>
      </c>
      <c r="AN89" s="20"/>
      <c r="AO89" s="20"/>
      <c r="AP89" s="20">
        <f ca="1">IFERROR(__xludf.DUMMYFUNCTION("+AN87+AO87"),0)</f>
        <v>0</v>
      </c>
      <c r="AQ89" s="20">
        <f ca="1">IFERROR(__xludf.DUMMYFUNCTION("+AP87*$D87"),0)</f>
        <v>0</v>
      </c>
      <c r="AS89" s="20"/>
      <c r="AT89" s="20"/>
      <c r="AU89" s="20">
        <f ca="1">IFERROR(__xludf.DUMMYFUNCTION("+AS87+AT87"),0)</f>
        <v>0</v>
      </c>
      <c r="AV89" s="20">
        <f ca="1">IFERROR(__xludf.DUMMYFUNCTION("+AU87*$D87"),0)</f>
        <v>0</v>
      </c>
      <c r="AX89" s="20"/>
      <c r="AY89" s="20"/>
      <c r="AZ89" s="20">
        <f ca="1">IFERROR(__xludf.DUMMYFUNCTION("+AX87+AY87"),0)</f>
        <v>0</v>
      </c>
      <c r="BA89" s="20">
        <f ca="1">IFERROR(__xludf.DUMMYFUNCTION("+AZ87*$D87"),0)</f>
        <v>0</v>
      </c>
      <c r="BC89" s="20"/>
      <c r="BD89" s="20"/>
      <c r="BE89" s="20">
        <f ca="1">IFERROR(__xludf.DUMMYFUNCTION("+BC87+BD87"),0)</f>
        <v>0</v>
      </c>
      <c r="BF89" s="20">
        <f ca="1">IFERROR(__xludf.DUMMYFUNCTION("+BE87*$D87"),0)</f>
        <v>0</v>
      </c>
      <c r="BH89" s="20"/>
      <c r="BI89" s="20"/>
      <c r="BJ89" s="20">
        <f ca="1">IFERROR(__xludf.DUMMYFUNCTION("+BH87+BI87"),0)</f>
        <v>0</v>
      </c>
      <c r="BK89" s="20">
        <f ca="1">IFERROR(__xludf.DUMMYFUNCTION("+BJ87*$D87"),0)</f>
        <v>0</v>
      </c>
      <c r="BM89" s="20"/>
      <c r="BN89" s="20"/>
      <c r="BO89" s="20">
        <f ca="1">IFERROR(__xludf.DUMMYFUNCTION("+BH87+BI87"),0)</f>
        <v>0</v>
      </c>
      <c r="BP89" s="20">
        <f ca="1">IFERROR(__xludf.DUMMYFUNCTION("+BJ87*$D87"),0)</f>
        <v>0</v>
      </c>
      <c r="BR89" s="20"/>
      <c r="BS89" s="20"/>
      <c r="BT89" s="20">
        <f ca="1">IFERROR(__xludf.DUMMYFUNCTION("+BH87+BI87"),0)</f>
        <v>0</v>
      </c>
      <c r="BU89" s="20">
        <f ca="1">IFERROR(__xludf.DUMMYFUNCTION("+BJ87*$D87"),0)</f>
        <v>0</v>
      </c>
      <c r="BW89" s="20"/>
      <c r="BX89" s="20"/>
      <c r="BY89" s="20">
        <f ca="1">IFERROR(__xludf.DUMMYFUNCTION("+BH87+BI87"),0)</f>
        <v>0</v>
      </c>
      <c r="BZ89" s="20">
        <f ca="1">IFERROR(__xludf.DUMMYFUNCTION("+BJ87*$D87"),0)</f>
        <v>0</v>
      </c>
      <c r="CB89" s="20"/>
      <c r="CC89" s="20"/>
      <c r="CD89" s="20">
        <f ca="1">IFERROR(__xludf.DUMMYFUNCTION("+BH87+BI87"),0)</f>
        <v>0</v>
      </c>
      <c r="CE89" s="20">
        <f ca="1">IFERROR(__xludf.DUMMYFUNCTION("+BJ87*$D87"),0)</f>
        <v>0</v>
      </c>
      <c r="CG89" s="20"/>
      <c r="CH89" s="20"/>
      <c r="CI89" s="20">
        <f ca="1">IFERROR(__xludf.DUMMYFUNCTION("+BH87+BI87"),0)</f>
        <v>0</v>
      </c>
      <c r="CJ89" s="20">
        <f ca="1">IFERROR(__xludf.DUMMYFUNCTION("+BJ87*$D87"),0)</f>
        <v>0</v>
      </c>
      <c r="CL89" s="20"/>
      <c r="CM89" s="20"/>
      <c r="CN89" s="20">
        <f ca="1">IFERROR(__xludf.DUMMYFUNCTION("+BH87+BI87"),0)</f>
        <v>0</v>
      </c>
      <c r="CO89" s="20">
        <f ca="1">IFERROR(__xludf.DUMMYFUNCTION("+BJ87*$D87"),0)</f>
        <v>0</v>
      </c>
      <c r="CQ89" s="138">
        <f t="shared" ca="1" si="54"/>
        <v>8482.7960000000003</v>
      </c>
    </row>
    <row r="90" spans="1:95" ht="15.75" customHeight="1" x14ac:dyDescent="0.2">
      <c r="A90" s="52" t="s">
        <v>105</v>
      </c>
      <c r="B90" s="53" t="s">
        <v>78</v>
      </c>
      <c r="C90" s="54">
        <v>2</v>
      </c>
      <c r="D90" s="16">
        <f ca="1">IFERROR(__xludf.DUMMYFUNCTION("+C88*$B$2"),160)</f>
        <v>160</v>
      </c>
      <c r="E90" s="55">
        <v>3723.5000000000005</v>
      </c>
      <c r="F90" s="56">
        <v>7447.0000000000009</v>
      </c>
      <c r="G90" s="18">
        <f ca="1">IFERROR(__xludf.DUMMYFUNCTION("+E88*D88"),595760)</f>
        <v>595760</v>
      </c>
      <c r="H90" s="38"/>
      <c r="J90" s="20"/>
      <c r="K90" s="20"/>
      <c r="L90" s="20">
        <f ca="1">IFERROR(__xludf.DUMMYFUNCTION("+J88+K88"),0)</f>
        <v>0</v>
      </c>
      <c r="M90" s="20">
        <f ca="1">IFERROR(__xludf.DUMMYFUNCTION("+L88*$D88"),0)</f>
        <v>0</v>
      </c>
      <c r="O90" s="20"/>
      <c r="P90" s="20"/>
      <c r="Q90" s="20">
        <f ca="1">IFERROR(__xludf.DUMMYFUNCTION("+O88+P88"),0)</f>
        <v>0</v>
      </c>
      <c r="R90" s="20">
        <f ca="1">IFERROR(__xludf.DUMMYFUNCTION("+Q88*$D88"),0)</f>
        <v>0</v>
      </c>
      <c r="T90" s="20"/>
      <c r="U90" s="20"/>
      <c r="V90" s="20">
        <f ca="1">IFERROR(__xludf.DUMMYFUNCTION("+T88+U88"),0)</f>
        <v>0</v>
      </c>
      <c r="W90" s="20">
        <f ca="1">IFERROR(__xludf.DUMMYFUNCTION("+V88*$D88"),0)</f>
        <v>0</v>
      </c>
      <c r="Y90" s="20">
        <v>1639</v>
      </c>
      <c r="Z90" s="20">
        <f ca="1">IFERROR(__xludf.DUMMYFUNCTION("+Y88*19%"),311.41)</f>
        <v>311.41000000000003</v>
      </c>
      <c r="AA90" s="20">
        <f ca="1">IFERROR(__xludf.DUMMYFUNCTION("+Y88+Z88"),1950.41)</f>
        <v>1950.41</v>
      </c>
      <c r="AB90" s="20">
        <f ca="1">IFERROR(__xludf.DUMMYFUNCTION("+AA88*$D88"),312065.6)</f>
        <v>312065.59999999998</v>
      </c>
      <c r="AD90" s="20">
        <v>1895</v>
      </c>
      <c r="AE90" s="20">
        <f ca="1">IFERROR(__xludf.DUMMYFUNCTION("+AD88*19%"),360.05)</f>
        <v>360.05</v>
      </c>
      <c r="AF90" s="20">
        <f ca="1">IFERROR(__xludf.DUMMYFUNCTION("+AD88+AE88"),2255.05)</f>
        <v>2255.0500000000002</v>
      </c>
      <c r="AG90" s="20">
        <f ca="1">IFERROR(__xludf.DUMMYFUNCTION("+AF88*$D88"),360808)</f>
        <v>360808</v>
      </c>
      <c r="AI90" s="20">
        <v>1490.4</v>
      </c>
      <c r="AJ90" s="20">
        <f ca="1">IFERROR(__xludf.DUMMYFUNCTION("+AI88*19%"),283.176)</f>
        <v>283.17599999999999</v>
      </c>
      <c r="AK90" s="20">
        <f ca="1">IFERROR(__xludf.DUMMYFUNCTION("+AI88+AJ88"),1773.576)</f>
        <v>1773.576</v>
      </c>
      <c r="AL90" s="20">
        <f ca="1">IFERROR(__xludf.DUMMYFUNCTION("+AK88*$D88"),283772.16)</f>
        <v>283772.15999999997</v>
      </c>
      <c r="AN90" s="20"/>
      <c r="AO90" s="20"/>
      <c r="AP90" s="20">
        <f ca="1">IFERROR(__xludf.DUMMYFUNCTION("+AN88+AO88"),0)</f>
        <v>0</v>
      </c>
      <c r="AQ90" s="20">
        <f ca="1">IFERROR(__xludf.DUMMYFUNCTION("+AP88*$D88"),0)</f>
        <v>0</v>
      </c>
      <c r="AS90" s="20"/>
      <c r="AT90" s="20"/>
      <c r="AU90" s="20">
        <f ca="1">IFERROR(__xludf.DUMMYFUNCTION("+AS88+AT88"),0)</f>
        <v>0</v>
      </c>
      <c r="AV90" s="20">
        <f ca="1">IFERROR(__xludf.DUMMYFUNCTION("+AU88*$D88"),0)</f>
        <v>0</v>
      </c>
      <c r="AX90" s="20"/>
      <c r="AY90" s="20"/>
      <c r="AZ90" s="20">
        <f ca="1">IFERROR(__xludf.DUMMYFUNCTION("+AX88+AY88"),0)</f>
        <v>0</v>
      </c>
      <c r="BA90" s="20">
        <f ca="1">IFERROR(__xludf.DUMMYFUNCTION("+AZ88*$D88"),0)</f>
        <v>0</v>
      </c>
      <c r="BC90" s="20"/>
      <c r="BD90" s="20"/>
      <c r="BE90" s="20">
        <f ca="1">IFERROR(__xludf.DUMMYFUNCTION("+BC88+BD88"),0)</f>
        <v>0</v>
      </c>
      <c r="BF90" s="20">
        <f ca="1">IFERROR(__xludf.DUMMYFUNCTION("+BE88*$D88"),0)</f>
        <v>0</v>
      </c>
      <c r="BH90" s="20"/>
      <c r="BI90" s="20"/>
      <c r="BJ90" s="20">
        <f ca="1">IFERROR(__xludf.DUMMYFUNCTION("+BH88+BI88"),0)</f>
        <v>0</v>
      </c>
      <c r="BK90" s="20">
        <f ca="1">IFERROR(__xludf.DUMMYFUNCTION("+BJ88*$D88"),0)</f>
        <v>0</v>
      </c>
      <c r="BM90" s="20"/>
      <c r="BN90" s="20"/>
      <c r="BO90" s="20">
        <f ca="1">IFERROR(__xludf.DUMMYFUNCTION("+BH88+BI88"),0)</f>
        <v>0</v>
      </c>
      <c r="BP90" s="20">
        <f ca="1">IFERROR(__xludf.DUMMYFUNCTION("+BJ88*$D88"),0)</f>
        <v>0</v>
      </c>
      <c r="BR90" s="20"/>
      <c r="BS90" s="20"/>
      <c r="BT90" s="20">
        <f ca="1">IFERROR(__xludf.DUMMYFUNCTION("+BH88+BI88"),0)</f>
        <v>0</v>
      </c>
      <c r="BU90" s="20">
        <f ca="1">IFERROR(__xludf.DUMMYFUNCTION("+BJ88*$D88"),0)</f>
        <v>0</v>
      </c>
      <c r="BW90" s="20"/>
      <c r="BX90" s="20"/>
      <c r="BY90" s="20">
        <f ca="1">IFERROR(__xludf.DUMMYFUNCTION("+BH88+BI88"),0)</f>
        <v>0</v>
      </c>
      <c r="BZ90" s="20">
        <f ca="1">IFERROR(__xludf.DUMMYFUNCTION("+BJ88*$D88"),0)</f>
        <v>0</v>
      </c>
      <c r="CB90" s="20"/>
      <c r="CC90" s="20"/>
      <c r="CD90" s="20">
        <f ca="1">IFERROR(__xludf.DUMMYFUNCTION("+BH88+BI88"),0)</f>
        <v>0</v>
      </c>
      <c r="CE90" s="20">
        <f ca="1">IFERROR(__xludf.DUMMYFUNCTION("+BJ88*$D88"),0)</f>
        <v>0</v>
      </c>
      <c r="CG90" s="20"/>
      <c r="CH90" s="20"/>
      <c r="CI90" s="20">
        <f ca="1">IFERROR(__xludf.DUMMYFUNCTION("+BH88+BI88"),0)</f>
        <v>0</v>
      </c>
      <c r="CJ90" s="20">
        <f ca="1">IFERROR(__xludf.DUMMYFUNCTION("+BJ88*$D88"),0)</f>
        <v>0</v>
      </c>
      <c r="CL90" s="20"/>
      <c r="CM90" s="20"/>
      <c r="CN90" s="20">
        <f ca="1">IFERROR(__xludf.DUMMYFUNCTION("+BH88+BI88"),0)</f>
        <v>0</v>
      </c>
      <c r="CO90" s="20">
        <f ca="1">IFERROR(__xludf.DUMMYFUNCTION("+BJ88*$D88"),0)</f>
        <v>0</v>
      </c>
      <c r="CQ90" s="138">
        <f ca="1">AVERAGE(AA90,AF90,AK90)</f>
        <v>1993.0119999999999</v>
      </c>
    </row>
    <row r="91" spans="1:95" ht="24" customHeight="1" x14ac:dyDescent="0.2">
      <c r="A91" s="58" t="s">
        <v>119</v>
      </c>
      <c r="B91" s="35" t="s">
        <v>120</v>
      </c>
      <c r="C91" s="59">
        <v>1.7</v>
      </c>
      <c r="D91" s="16">
        <f ca="1">IFERROR(__xludf.DUMMYFUNCTION("+C89*$B$2"),136)</f>
        <v>136</v>
      </c>
      <c r="E91" s="55">
        <v>150000</v>
      </c>
      <c r="F91" s="56">
        <v>255000</v>
      </c>
      <c r="G91" s="18">
        <f ca="1">IFERROR(__xludf.DUMMYFUNCTION("+E89*D89"),20400000)</f>
        <v>20400000</v>
      </c>
      <c r="H91" s="38"/>
      <c r="J91" s="20"/>
      <c r="K91" s="20"/>
      <c r="L91" s="20">
        <f ca="1">IFERROR(__xludf.DUMMYFUNCTION("+J89+K89"),0)</f>
        <v>0</v>
      </c>
      <c r="M91" s="20">
        <f ca="1">IFERROR(__xludf.DUMMYFUNCTION("+L89*$D89"),0)</f>
        <v>0</v>
      </c>
      <c r="O91" s="20"/>
      <c r="P91" s="20"/>
      <c r="Q91" s="20">
        <f ca="1">IFERROR(__xludf.DUMMYFUNCTION("+O89+P89"),0)</f>
        <v>0</v>
      </c>
      <c r="R91" s="20">
        <f ca="1">IFERROR(__xludf.DUMMYFUNCTION("+Q89*$D89"),0)</f>
        <v>0</v>
      </c>
      <c r="T91" s="20"/>
      <c r="U91" s="20"/>
      <c r="V91" s="20">
        <f ca="1">IFERROR(__xludf.DUMMYFUNCTION("+T89+U89"),0)</f>
        <v>0</v>
      </c>
      <c r="W91" s="20">
        <f ca="1">IFERROR(__xludf.DUMMYFUNCTION("+V89*$D89"),0)</f>
        <v>0</v>
      </c>
      <c r="Y91" s="20">
        <v>150000</v>
      </c>
      <c r="Z91" s="20">
        <f t="shared" ref="Z91:Z92" si="57">Y91*0.19</f>
        <v>28500</v>
      </c>
      <c r="AA91" s="20">
        <f t="shared" ref="AA91:AA92" si="58">Y91+Z91</f>
        <v>178500</v>
      </c>
      <c r="AB91" s="20">
        <f t="shared" ref="AB91" ca="1" si="59">AA91*D91</f>
        <v>24276000</v>
      </c>
      <c r="AD91" s="20">
        <v>130000</v>
      </c>
      <c r="AE91" s="20">
        <f t="shared" ref="AE91:AE92" si="60">AD91*0.19</f>
        <v>24700</v>
      </c>
      <c r="AF91" s="20">
        <f t="shared" ref="AF91:AF92" si="61">AD91+AE91</f>
        <v>154700</v>
      </c>
      <c r="AG91" s="20">
        <f ca="1">D91*AF91</f>
        <v>21039200</v>
      </c>
      <c r="AI91" s="20">
        <v>130000</v>
      </c>
      <c r="AJ91" s="20">
        <f t="shared" ref="AJ91:AJ92" si="62">AI91*0.19</f>
        <v>24700</v>
      </c>
      <c r="AK91" s="20">
        <f t="shared" ref="AK91" si="63">AI91+AJ91</f>
        <v>154700</v>
      </c>
      <c r="AL91" s="20">
        <f ca="1">AK91*D91</f>
        <v>21039200</v>
      </c>
      <c r="AN91" s="20"/>
      <c r="AO91" s="20"/>
      <c r="AP91" s="20">
        <f ca="1">IFERROR(__xludf.DUMMYFUNCTION("+AN89+AO89"),0)</f>
        <v>0</v>
      </c>
      <c r="AQ91" s="20">
        <f ca="1">IFERROR(__xludf.DUMMYFUNCTION("+AP89*$D89"),0)</f>
        <v>0</v>
      </c>
      <c r="AS91" s="20"/>
      <c r="AT91" s="20"/>
      <c r="AU91" s="20">
        <f ca="1">IFERROR(__xludf.DUMMYFUNCTION("+AS89+AT89"),0)</f>
        <v>0</v>
      </c>
      <c r="AV91" s="20">
        <f ca="1">IFERROR(__xludf.DUMMYFUNCTION("+AU89*$D89"),0)</f>
        <v>0</v>
      </c>
      <c r="AX91" s="20"/>
      <c r="AY91" s="20"/>
      <c r="AZ91" s="20">
        <f ca="1">IFERROR(__xludf.DUMMYFUNCTION("+AX89+AY89"),0)</f>
        <v>0</v>
      </c>
      <c r="BA91" s="20">
        <f ca="1">IFERROR(__xludf.DUMMYFUNCTION("+AZ89*$D89"),0)</f>
        <v>0</v>
      </c>
      <c r="BC91" s="20"/>
      <c r="BD91" s="20"/>
      <c r="BE91" s="20">
        <f ca="1">IFERROR(__xludf.DUMMYFUNCTION("+BC89+BD89"),0)</f>
        <v>0</v>
      </c>
      <c r="BF91" s="20">
        <f ca="1">IFERROR(__xludf.DUMMYFUNCTION("+BE89*$D89"),0)</f>
        <v>0</v>
      </c>
      <c r="BH91" s="20"/>
      <c r="BI91" s="20"/>
      <c r="BJ91" s="20">
        <f ca="1">IFERROR(__xludf.DUMMYFUNCTION("+BH89+BI89"),0)</f>
        <v>0</v>
      </c>
      <c r="BK91" s="20">
        <f ca="1">IFERROR(__xludf.DUMMYFUNCTION("+BJ89*$D89"),0)</f>
        <v>0</v>
      </c>
      <c r="BM91" s="20"/>
      <c r="BN91" s="20"/>
      <c r="BO91" s="20">
        <f ca="1">IFERROR(__xludf.DUMMYFUNCTION("+BH89+BI89"),0)</f>
        <v>0</v>
      </c>
      <c r="BP91" s="20">
        <f ca="1">IFERROR(__xludf.DUMMYFUNCTION("+BJ89*$D89"),0)</f>
        <v>0</v>
      </c>
      <c r="BR91" s="20"/>
      <c r="BS91" s="20"/>
      <c r="BT91" s="20">
        <f ca="1">IFERROR(__xludf.DUMMYFUNCTION("+BH89+BI89"),0)</f>
        <v>0</v>
      </c>
      <c r="BU91" s="20">
        <f ca="1">IFERROR(__xludf.DUMMYFUNCTION("+BJ89*$D89"),0)</f>
        <v>0</v>
      </c>
      <c r="BW91" s="20"/>
      <c r="BX91" s="20"/>
      <c r="BY91" s="20">
        <f ca="1">IFERROR(__xludf.DUMMYFUNCTION("+BH89+BI89"),0)</f>
        <v>0</v>
      </c>
      <c r="BZ91" s="20">
        <f ca="1">IFERROR(__xludf.DUMMYFUNCTION("+BJ89*$D89"),0)</f>
        <v>0</v>
      </c>
      <c r="CB91" s="20"/>
      <c r="CC91" s="20"/>
      <c r="CD91" s="20">
        <f ca="1">IFERROR(__xludf.DUMMYFUNCTION("+BH89+BI89"),0)</f>
        <v>0</v>
      </c>
      <c r="CE91" s="20">
        <f ca="1">IFERROR(__xludf.DUMMYFUNCTION("+BJ89*$D89"),0)</f>
        <v>0</v>
      </c>
      <c r="CG91" s="20"/>
      <c r="CH91" s="20"/>
      <c r="CI91" s="20">
        <f ca="1">IFERROR(__xludf.DUMMYFUNCTION("+BH89+BI89"),0)</f>
        <v>0</v>
      </c>
      <c r="CJ91" s="20">
        <f ca="1">IFERROR(__xludf.DUMMYFUNCTION("+BJ89*$D89"),0)</f>
        <v>0</v>
      </c>
      <c r="CL91" s="20"/>
      <c r="CM91" s="20"/>
      <c r="CN91" s="20">
        <f ca="1">IFERROR(__xludf.DUMMYFUNCTION("+BH89+BI89"),0)</f>
        <v>0</v>
      </c>
      <c r="CO91" s="20">
        <f ca="1">IFERROR(__xludf.DUMMYFUNCTION("+BJ89*$D89"),0)</f>
        <v>0</v>
      </c>
      <c r="CQ91" s="138">
        <f t="shared" si="54"/>
        <v>162633.33333333334</v>
      </c>
    </row>
    <row r="92" spans="1:95" ht="15.75" customHeight="1" x14ac:dyDescent="0.2">
      <c r="A92" s="60" t="s">
        <v>121</v>
      </c>
      <c r="B92" s="61" t="s">
        <v>122</v>
      </c>
      <c r="C92" s="62">
        <v>8</v>
      </c>
      <c r="D92" s="16">
        <f ca="1">IFERROR(__xludf.DUMMYFUNCTION("+C90*$B$2"),640)</f>
        <v>640</v>
      </c>
      <c r="E92" s="55">
        <v>18000</v>
      </c>
      <c r="F92" s="56">
        <v>144000</v>
      </c>
      <c r="G92" s="18">
        <f ca="1">IFERROR(__xludf.DUMMYFUNCTION("+E90*D90"),11520000)</f>
        <v>11520000</v>
      </c>
      <c r="H92" s="38"/>
      <c r="J92" s="20"/>
      <c r="K92" s="20"/>
      <c r="L92" s="20">
        <f ca="1">IFERROR(__xludf.DUMMYFUNCTION("+J90+K90"),0)</f>
        <v>0</v>
      </c>
      <c r="M92" s="20">
        <f ca="1">IFERROR(__xludf.DUMMYFUNCTION("+L90*$D90"),0)</f>
        <v>0</v>
      </c>
      <c r="O92" s="20"/>
      <c r="P92" s="20"/>
      <c r="Q92" s="20">
        <f ca="1">IFERROR(__xludf.DUMMYFUNCTION("+O90+P90"),0)</f>
        <v>0</v>
      </c>
      <c r="R92" s="20">
        <f ca="1">IFERROR(__xludf.DUMMYFUNCTION("+Q90*$D90"),0)</f>
        <v>0</v>
      </c>
      <c r="T92" s="20"/>
      <c r="U92" s="20"/>
      <c r="V92" s="20">
        <f ca="1">IFERROR(__xludf.DUMMYFUNCTION("+T90+U90"),0)</f>
        <v>0</v>
      </c>
      <c r="W92" s="20">
        <f ca="1">IFERROR(__xludf.DUMMYFUNCTION("+V90*$D90"),0)</f>
        <v>0</v>
      </c>
      <c r="Y92" s="20">
        <v>20000</v>
      </c>
      <c r="Z92" s="20">
        <f t="shared" si="57"/>
        <v>3800</v>
      </c>
      <c r="AA92" s="20">
        <f t="shared" si="58"/>
        <v>23800</v>
      </c>
      <c r="AB92" s="20">
        <f ca="1">AA92*D92</f>
        <v>15232000</v>
      </c>
      <c r="AD92" s="20">
        <v>18000</v>
      </c>
      <c r="AE92" s="20">
        <f t="shared" si="60"/>
        <v>3420</v>
      </c>
      <c r="AF92" s="20">
        <f t="shared" si="61"/>
        <v>21420</v>
      </c>
      <c r="AG92" s="20">
        <f ca="1">D92*AF92</f>
        <v>13708800</v>
      </c>
      <c r="AI92" s="20">
        <v>17500</v>
      </c>
      <c r="AJ92" s="20">
        <f t="shared" si="62"/>
        <v>3325</v>
      </c>
      <c r="AK92" s="20">
        <f t="shared" ref="AK92" si="64">AI92+AJ92</f>
        <v>20825</v>
      </c>
      <c r="AL92" s="20">
        <f ca="1">D92*AK92</f>
        <v>13328000</v>
      </c>
      <c r="AN92" s="20"/>
      <c r="AO92" s="20"/>
      <c r="AP92" s="20">
        <f ca="1">IFERROR(__xludf.DUMMYFUNCTION("+AN90+AO90"),0)</f>
        <v>0</v>
      </c>
      <c r="AQ92" s="20">
        <f ca="1">IFERROR(__xludf.DUMMYFUNCTION("+AP90*$D90"),0)</f>
        <v>0</v>
      </c>
      <c r="AS92" s="20"/>
      <c r="AT92" s="20"/>
      <c r="AU92" s="20">
        <f ca="1">IFERROR(__xludf.DUMMYFUNCTION("+AS90+AT90"),0)</f>
        <v>0</v>
      </c>
      <c r="AV92" s="20">
        <f ca="1">IFERROR(__xludf.DUMMYFUNCTION("+AU90*$D90"),0)</f>
        <v>0</v>
      </c>
      <c r="AX92" s="20"/>
      <c r="AY92" s="20"/>
      <c r="AZ92" s="20">
        <f ca="1">IFERROR(__xludf.DUMMYFUNCTION("+AX90+AY90"),0)</f>
        <v>0</v>
      </c>
      <c r="BA92" s="20">
        <f ca="1">IFERROR(__xludf.DUMMYFUNCTION("+AZ90*$D90"),0)</f>
        <v>0</v>
      </c>
      <c r="BC92" s="20"/>
      <c r="BD92" s="20"/>
      <c r="BE92" s="20">
        <f ca="1">IFERROR(__xludf.DUMMYFUNCTION("+BC90+BD90"),0)</f>
        <v>0</v>
      </c>
      <c r="BF92" s="20">
        <f ca="1">IFERROR(__xludf.DUMMYFUNCTION("+BE90*$D90"),0)</f>
        <v>0</v>
      </c>
      <c r="BH92" s="20"/>
      <c r="BI92" s="20"/>
      <c r="BJ92" s="20">
        <f ca="1">IFERROR(__xludf.DUMMYFUNCTION("+BH90+BI90"),0)</f>
        <v>0</v>
      </c>
      <c r="BK92" s="20">
        <f ca="1">IFERROR(__xludf.DUMMYFUNCTION("+BJ90*$D90"),0)</f>
        <v>0</v>
      </c>
      <c r="BM92" s="20"/>
      <c r="BN92" s="20"/>
      <c r="BO92" s="20">
        <f ca="1">IFERROR(__xludf.DUMMYFUNCTION("+BH90+BI90"),0)</f>
        <v>0</v>
      </c>
      <c r="BP92" s="20">
        <f ca="1">IFERROR(__xludf.DUMMYFUNCTION("+BJ90*$D90"),0)</f>
        <v>0</v>
      </c>
      <c r="BR92" s="20"/>
      <c r="BS92" s="20"/>
      <c r="BT92" s="20">
        <f ca="1">IFERROR(__xludf.DUMMYFUNCTION("+BH90+BI90"),0)</f>
        <v>0</v>
      </c>
      <c r="BU92" s="20">
        <f ca="1">IFERROR(__xludf.DUMMYFUNCTION("+BJ90*$D90"),0)</f>
        <v>0</v>
      </c>
      <c r="BW92" s="20"/>
      <c r="BX92" s="20"/>
      <c r="BY92" s="20">
        <f ca="1">IFERROR(__xludf.DUMMYFUNCTION("+BH90+BI90"),0)</f>
        <v>0</v>
      </c>
      <c r="BZ92" s="20">
        <f ca="1">IFERROR(__xludf.DUMMYFUNCTION("+BJ90*$D90"),0)</f>
        <v>0</v>
      </c>
      <c r="CB92" s="20"/>
      <c r="CC92" s="20"/>
      <c r="CD92" s="20">
        <f ca="1">IFERROR(__xludf.DUMMYFUNCTION("+BH90+BI90"),0)</f>
        <v>0</v>
      </c>
      <c r="CE92" s="20">
        <f ca="1">IFERROR(__xludf.DUMMYFUNCTION("+BJ90*$D90"),0)</f>
        <v>0</v>
      </c>
      <c r="CG92" s="20"/>
      <c r="CH92" s="20"/>
      <c r="CI92" s="20">
        <f ca="1">IFERROR(__xludf.DUMMYFUNCTION("+BH90+BI90"),0)</f>
        <v>0</v>
      </c>
      <c r="CJ92" s="20">
        <f ca="1">IFERROR(__xludf.DUMMYFUNCTION("+BJ90*$D90"),0)</f>
        <v>0</v>
      </c>
      <c r="CL92" s="20"/>
      <c r="CM92" s="20"/>
      <c r="CN92" s="20">
        <f ca="1">IFERROR(__xludf.DUMMYFUNCTION("+BH90+BI90"),0)</f>
        <v>0</v>
      </c>
      <c r="CO92" s="20">
        <f ca="1">IFERROR(__xludf.DUMMYFUNCTION("+BJ90*$D90"),0)</f>
        <v>0</v>
      </c>
      <c r="CQ92" s="138">
        <f t="shared" si="54"/>
        <v>22015</v>
      </c>
    </row>
    <row r="93" spans="1:95" ht="15.75" customHeight="1" x14ac:dyDescent="0.2">
      <c r="A93" s="272" t="s">
        <v>123</v>
      </c>
      <c r="B93" s="273"/>
      <c r="C93" s="273"/>
      <c r="D93" s="273"/>
      <c r="E93" s="273"/>
      <c r="F93" s="273"/>
      <c r="G93" s="273"/>
      <c r="H93" s="274"/>
      <c r="J93" s="10"/>
      <c r="K93" s="11"/>
      <c r="L93" s="11"/>
      <c r="M93" s="12"/>
      <c r="O93" s="10"/>
      <c r="P93" s="11"/>
      <c r="Q93" s="11"/>
      <c r="R93" s="12"/>
      <c r="T93" s="10"/>
      <c r="U93" s="11"/>
      <c r="V93" s="11"/>
      <c r="W93" s="12"/>
      <c r="Y93" s="10"/>
      <c r="Z93" s="11"/>
      <c r="AA93" s="11"/>
      <c r="AB93" s="12"/>
      <c r="AD93" s="10"/>
      <c r="AE93" s="11"/>
      <c r="AF93" s="11"/>
      <c r="AG93" s="12"/>
      <c r="AI93" s="10"/>
      <c r="AJ93" s="11"/>
      <c r="AK93" s="11"/>
      <c r="AL93" s="12"/>
      <c r="AN93" s="10"/>
      <c r="AO93" s="11"/>
      <c r="AP93" s="11"/>
      <c r="AQ93" s="12"/>
      <c r="AS93" s="10"/>
      <c r="AT93" s="11"/>
      <c r="AU93" s="11"/>
      <c r="AV93" s="12"/>
      <c r="AX93" s="10"/>
      <c r="AY93" s="11"/>
      <c r="AZ93" s="11"/>
      <c r="BA93" s="12"/>
      <c r="BC93" s="10"/>
      <c r="BD93" s="11"/>
      <c r="BE93" s="11"/>
      <c r="BF93" s="12"/>
      <c r="BH93" s="10"/>
      <c r="BI93" s="11"/>
      <c r="BJ93" s="11"/>
      <c r="BK93" s="12"/>
      <c r="BM93" s="10"/>
      <c r="BN93" s="11"/>
      <c r="BO93" s="11"/>
      <c r="BP93" s="12"/>
      <c r="BR93" s="10"/>
      <c r="BS93" s="11"/>
      <c r="BT93" s="11"/>
      <c r="BU93" s="12"/>
      <c r="BW93" s="10"/>
      <c r="BX93" s="11"/>
      <c r="BY93" s="11"/>
      <c r="BZ93" s="12"/>
      <c r="CB93" s="10"/>
      <c r="CC93" s="11"/>
      <c r="CD93" s="11"/>
      <c r="CE93" s="12"/>
      <c r="CG93" s="10"/>
      <c r="CH93" s="11"/>
      <c r="CI93" s="11"/>
      <c r="CJ93" s="12"/>
      <c r="CL93" s="10"/>
      <c r="CM93" s="11"/>
      <c r="CN93" s="11"/>
      <c r="CO93" s="12"/>
      <c r="CQ93" s="142"/>
    </row>
    <row r="94" spans="1:95" ht="28.25" customHeight="1" x14ac:dyDescent="0.2">
      <c r="A94" s="63" t="s">
        <v>192</v>
      </c>
      <c r="B94" s="47" t="s">
        <v>124</v>
      </c>
      <c r="C94" s="62">
        <v>6</v>
      </c>
      <c r="D94" s="62">
        <f ca="1">IFERROR(__xludf.DUMMYFUNCTION("+C92"),6)</f>
        <v>6</v>
      </c>
      <c r="E94" s="282">
        <v>200000</v>
      </c>
      <c r="F94" s="282">
        <v>600000</v>
      </c>
      <c r="G94" s="285">
        <f ca="1">IFERROR(__xludf.DUMMYFUNCTION("+F92"),600000)</f>
        <v>600000</v>
      </c>
      <c r="H94" s="38"/>
      <c r="J94" s="20"/>
      <c r="K94" s="20"/>
      <c r="L94" s="20">
        <f ca="1">IFERROR(__xludf.DUMMYFUNCTION("+J92+K92"),0)</f>
        <v>0</v>
      </c>
      <c r="M94" s="20">
        <f ca="1">IFERROR(__xludf.DUMMYFUNCTION("+L92*$D92"),0)</f>
        <v>0</v>
      </c>
      <c r="O94" s="20"/>
      <c r="P94" s="20"/>
      <c r="Q94" s="20">
        <f ca="1">IFERROR(__xludf.DUMMYFUNCTION("+O92+P92"),0)</f>
        <v>0</v>
      </c>
      <c r="R94" s="20">
        <f ca="1">IFERROR(__xludf.DUMMYFUNCTION("+Q92*$D92"),0)</f>
        <v>0</v>
      </c>
      <c r="T94" s="20"/>
      <c r="U94" s="20"/>
      <c r="V94" s="20">
        <f ca="1">IFERROR(__xludf.DUMMYFUNCTION("+T92+U92"),0)</f>
        <v>0</v>
      </c>
      <c r="W94" s="20">
        <f ca="1">IFERROR(__xludf.DUMMYFUNCTION("+V92*$D92"),0)</f>
        <v>0</v>
      </c>
      <c r="Y94" s="20"/>
      <c r="Z94" s="20"/>
      <c r="AA94" s="20">
        <f ca="1">IFERROR(__xludf.DUMMYFUNCTION("+Y92+Z92"),0)</f>
        <v>0</v>
      </c>
      <c r="AB94" s="20">
        <f ca="1">IFERROR(__xludf.DUMMYFUNCTION("+AA92*$D92"),0)</f>
        <v>0</v>
      </c>
      <c r="AD94" s="20"/>
      <c r="AE94" s="20"/>
      <c r="AF94" s="20">
        <f ca="1">IFERROR(__xludf.DUMMYFUNCTION("+AD92+AE92"),0)</f>
        <v>0</v>
      </c>
      <c r="AG94" s="20">
        <f ca="1">IFERROR(__xludf.DUMMYFUNCTION("+AF92*$D92"),0)</f>
        <v>0</v>
      </c>
      <c r="AI94" s="20"/>
      <c r="AJ94" s="20"/>
      <c r="AK94" s="20">
        <f ca="1">IFERROR(__xludf.DUMMYFUNCTION("+AI92+AJ92"),0)</f>
        <v>0</v>
      </c>
      <c r="AL94" s="20">
        <f ca="1">IFERROR(__xludf.DUMMYFUNCTION("+AK92*$D92"),0)</f>
        <v>0</v>
      </c>
      <c r="AN94" s="20"/>
      <c r="AO94" s="20"/>
      <c r="AP94" s="20">
        <f ca="1">IFERROR(__xludf.DUMMYFUNCTION("+AN92+AO92"),0)</f>
        <v>0</v>
      </c>
      <c r="AQ94" s="20">
        <f ca="1">IFERROR(__xludf.DUMMYFUNCTION("+AP92*$D92"),0)</f>
        <v>0</v>
      </c>
      <c r="AS94" s="20">
        <v>37900</v>
      </c>
      <c r="AT94" s="20">
        <f ca="1">IFERROR(__xludf.DUMMYFUNCTION("+AS92*19%"),7201)</f>
        <v>7201</v>
      </c>
      <c r="AU94" s="20">
        <f ca="1">IFERROR(__xludf.DUMMYFUNCTION("+AS92+AT92"),45101)</f>
        <v>45101</v>
      </c>
      <c r="AV94" s="20">
        <f ca="1">IFERROR(__xludf.DUMMYFUNCTION("+AU92*$D92"),270606)</f>
        <v>270606</v>
      </c>
      <c r="AX94" s="20">
        <v>42900</v>
      </c>
      <c r="AY94" s="20">
        <f ca="1">IFERROR(__xludf.DUMMYFUNCTION("+AX92*19%"),8151)</f>
        <v>8151</v>
      </c>
      <c r="AZ94" s="20">
        <f ca="1">IFERROR(__xludf.DUMMYFUNCTION("+AX92+AY92"),51051)</f>
        <v>51051</v>
      </c>
      <c r="BA94" s="20">
        <f ca="1">IFERROR(__xludf.DUMMYFUNCTION("+AZ92*$D92"),306306)</f>
        <v>306306</v>
      </c>
      <c r="BC94" s="149">
        <f>26331+8000</f>
        <v>34331</v>
      </c>
      <c r="BD94" s="20">
        <f t="shared" ref="BD94:BD96" si="65">BC94*19%</f>
        <v>6522.89</v>
      </c>
      <c r="BE94" s="20">
        <f ca="1">IFERROR(__xludf.DUMMYFUNCTION("+BC92+BD92"),40853.89)</f>
        <v>40853.89</v>
      </c>
      <c r="BF94" s="20">
        <f ca="1">IFERROR(__xludf.DUMMYFUNCTION("+BE92*$D92"),245123.34)</f>
        <v>245123.34</v>
      </c>
      <c r="BH94" s="20"/>
      <c r="BI94" s="20"/>
      <c r="BJ94" s="20">
        <f ca="1">IFERROR(__xludf.DUMMYFUNCTION("+BH92+BI92"),0)</f>
        <v>0</v>
      </c>
      <c r="BK94" s="20">
        <f ca="1">IFERROR(__xludf.DUMMYFUNCTION("+BJ92*$D92"),0)</f>
        <v>0</v>
      </c>
      <c r="BM94" s="20"/>
      <c r="BN94" s="20"/>
      <c r="BO94" s="20">
        <f ca="1">IFERROR(__xludf.DUMMYFUNCTION("+BH92+BI92"),0)</f>
        <v>0</v>
      </c>
      <c r="BP94" s="20">
        <f ca="1">IFERROR(__xludf.DUMMYFUNCTION("+BJ92*$D92"),0)</f>
        <v>0</v>
      </c>
      <c r="BR94" s="20"/>
      <c r="BS94" s="20"/>
      <c r="BT94" s="20">
        <f ca="1">IFERROR(__xludf.DUMMYFUNCTION("+BH92+BI92"),0)</f>
        <v>0</v>
      </c>
      <c r="BU94" s="20">
        <f ca="1">IFERROR(__xludf.DUMMYFUNCTION("+BJ92*$D92"),0)</f>
        <v>0</v>
      </c>
      <c r="BW94" s="20"/>
      <c r="BX94" s="20"/>
      <c r="BY94" s="20">
        <f ca="1">IFERROR(__xludf.DUMMYFUNCTION("+BH92+BI92"),0)</f>
        <v>0</v>
      </c>
      <c r="BZ94" s="20">
        <f ca="1">IFERROR(__xludf.DUMMYFUNCTION("+BJ92*$D92"),0)</f>
        <v>0</v>
      </c>
      <c r="CB94" s="20"/>
      <c r="CC94" s="20"/>
      <c r="CD94" s="20">
        <f ca="1">IFERROR(__xludf.DUMMYFUNCTION("+BH92+BI92"),0)</f>
        <v>0</v>
      </c>
      <c r="CE94" s="20">
        <f ca="1">IFERROR(__xludf.DUMMYFUNCTION("+BJ92*$D92"),0)</f>
        <v>0</v>
      </c>
      <c r="CG94" s="20"/>
      <c r="CH94" s="20"/>
      <c r="CI94" s="20">
        <f ca="1">IFERROR(__xludf.DUMMYFUNCTION("+BH92+BI92"),0)</f>
        <v>0</v>
      </c>
      <c r="CJ94" s="20">
        <f ca="1">IFERROR(__xludf.DUMMYFUNCTION("+BJ92*$D92"),0)</f>
        <v>0</v>
      </c>
      <c r="CL94" s="20"/>
      <c r="CM94" s="20"/>
      <c r="CN94" s="20">
        <f ca="1">IFERROR(__xludf.DUMMYFUNCTION("+BH92+BI92"),0)</f>
        <v>0</v>
      </c>
      <c r="CO94" s="20">
        <f ca="1">IFERROR(__xludf.DUMMYFUNCTION("+BJ92*$D92"),0)</f>
        <v>0</v>
      </c>
      <c r="CQ94" s="138">
        <f ca="1">AVERAGE(AU94,AZ94,BE94)</f>
        <v>45668.630000000005</v>
      </c>
    </row>
    <row r="95" spans="1:95" ht="32.5" customHeight="1" x14ac:dyDescent="0.2">
      <c r="A95" s="63" t="s">
        <v>193</v>
      </c>
      <c r="B95" s="47" t="s">
        <v>124</v>
      </c>
      <c r="C95" s="62">
        <v>3</v>
      </c>
      <c r="D95" s="62">
        <f ca="1">IFERROR(__xludf.DUMMYFUNCTION("+C93"),3)</f>
        <v>3</v>
      </c>
      <c r="E95" s="283"/>
      <c r="F95" s="283"/>
      <c r="G95" s="283"/>
      <c r="H95" s="38"/>
      <c r="J95" s="20"/>
      <c r="K95" s="20"/>
      <c r="L95" s="20">
        <f ca="1">IFERROR(__xludf.DUMMYFUNCTION("+J93+K93"),0)</f>
        <v>0</v>
      </c>
      <c r="M95" s="20">
        <f ca="1">IFERROR(__xludf.DUMMYFUNCTION("+L93*$D93"),0)</f>
        <v>0</v>
      </c>
      <c r="O95" s="20"/>
      <c r="P95" s="20"/>
      <c r="Q95" s="20">
        <f ca="1">IFERROR(__xludf.DUMMYFUNCTION("+O93+P93"),0)</f>
        <v>0</v>
      </c>
      <c r="R95" s="20">
        <f ca="1">IFERROR(__xludf.DUMMYFUNCTION("+Q93*$D93"),0)</f>
        <v>0</v>
      </c>
      <c r="T95" s="20"/>
      <c r="U95" s="20"/>
      <c r="V95" s="20">
        <f ca="1">IFERROR(__xludf.DUMMYFUNCTION("+T93+U93"),0)</f>
        <v>0</v>
      </c>
      <c r="W95" s="20">
        <f ca="1">IFERROR(__xludf.DUMMYFUNCTION("+V93*$D93"),0)</f>
        <v>0</v>
      </c>
      <c r="Y95" s="20"/>
      <c r="Z95" s="20"/>
      <c r="AA95" s="20">
        <f ca="1">IFERROR(__xludf.DUMMYFUNCTION("+Y93+Z93"),0)</f>
        <v>0</v>
      </c>
      <c r="AB95" s="20">
        <f ca="1">IFERROR(__xludf.DUMMYFUNCTION("+AA93*$D93"),0)</f>
        <v>0</v>
      </c>
      <c r="AD95" s="20"/>
      <c r="AE95" s="20"/>
      <c r="AF95" s="20">
        <f ca="1">IFERROR(__xludf.DUMMYFUNCTION("+AD93+AE93"),0)</f>
        <v>0</v>
      </c>
      <c r="AG95" s="20">
        <f ca="1">IFERROR(__xludf.DUMMYFUNCTION("+AF93*$D93"),0)</f>
        <v>0</v>
      </c>
      <c r="AI95" s="20"/>
      <c r="AJ95" s="20"/>
      <c r="AK95" s="20">
        <f ca="1">IFERROR(__xludf.DUMMYFUNCTION("+AI93+AJ93"),0)</f>
        <v>0</v>
      </c>
      <c r="AL95" s="20">
        <f ca="1">IFERROR(__xludf.DUMMYFUNCTION("+AK93*$D93"),0)</f>
        <v>0</v>
      </c>
      <c r="AN95" s="20"/>
      <c r="AO95" s="20"/>
      <c r="AP95" s="20">
        <f ca="1">IFERROR(__xludf.DUMMYFUNCTION("+AN93+AO93"),0)</f>
        <v>0</v>
      </c>
      <c r="AQ95" s="20">
        <f ca="1">IFERROR(__xludf.DUMMYFUNCTION("+AP93*$D93"),0)</f>
        <v>0</v>
      </c>
      <c r="AS95" s="20">
        <v>38300</v>
      </c>
      <c r="AT95" s="20">
        <f ca="1">IFERROR(__xludf.DUMMYFUNCTION("+AS93*19%"),7277)</f>
        <v>7277</v>
      </c>
      <c r="AU95" s="20">
        <f ca="1">IFERROR(__xludf.DUMMYFUNCTION("+AS93+AT93"),45577)</f>
        <v>45577</v>
      </c>
      <c r="AV95" s="20">
        <f ca="1">IFERROR(__xludf.DUMMYFUNCTION("+AU93*$D93"),136731)</f>
        <v>136731</v>
      </c>
      <c r="AX95" s="20">
        <v>39900</v>
      </c>
      <c r="AY95" s="20">
        <f ca="1">IFERROR(__xludf.DUMMYFUNCTION("+AX93*19%"),7581)</f>
        <v>7581</v>
      </c>
      <c r="AZ95" s="20">
        <f ca="1">IFERROR(__xludf.DUMMYFUNCTION("+AX93+AY93"),47481)</f>
        <v>47481</v>
      </c>
      <c r="BA95" s="20">
        <f ca="1">IFERROR(__xludf.DUMMYFUNCTION("+AZ93*$D93"),142443)</f>
        <v>142443</v>
      </c>
      <c r="BC95" s="149">
        <f>23409+8000</f>
        <v>31409</v>
      </c>
      <c r="BD95" s="20">
        <f t="shared" si="65"/>
        <v>5967.71</v>
      </c>
      <c r="BE95" s="20">
        <f ca="1">IFERROR(__xludf.DUMMYFUNCTION("+BC93+BD93"),37376.71)</f>
        <v>37376.71</v>
      </c>
      <c r="BF95" s="20">
        <f ca="1">IFERROR(__xludf.DUMMYFUNCTION("+BE93*$D93"),112130.13)</f>
        <v>112130.13</v>
      </c>
      <c r="BH95" s="20"/>
      <c r="BI95" s="20"/>
      <c r="BJ95" s="20">
        <f ca="1">IFERROR(__xludf.DUMMYFUNCTION("+BH93+BI93"),0)</f>
        <v>0</v>
      </c>
      <c r="BK95" s="20">
        <f ca="1">IFERROR(__xludf.DUMMYFUNCTION("+BJ93*$D93"),0)</f>
        <v>0</v>
      </c>
      <c r="BM95" s="20"/>
      <c r="BN95" s="20"/>
      <c r="BO95" s="20">
        <f ca="1">IFERROR(__xludf.DUMMYFUNCTION("+BH93+BI93"),0)</f>
        <v>0</v>
      </c>
      <c r="BP95" s="20">
        <f ca="1">IFERROR(__xludf.DUMMYFUNCTION("+BJ93*$D93"),0)</f>
        <v>0</v>
      </c>
      <c r="BR95" s="20"/>
      <c r="BS95" s="20"/>
      <c r="BT95" s="20">
        <f ca="1">IFERROR(__xludf.DUMMYFUNCTION("+BH93+BI93"),0)</f>
        <v>0</v>
      </c>
      <c r="BU95" s="20">
        <f ca="1">IFERROR(__xludf.DUMMYFUNCTION("+BJ93*$D93"),0)</f>
        <v>0</v>
      </c>
      <c r="BW95" s="20"/>
      <c r="BX95" s="20"/>
      <c r="BY95" s="20">
        <f ca="1">IFERROR(__xludf.DUMMYFUNCTION("+BH93+BI93"),0)</f>
        <v>0</v>
      </c>
      <c r="BZ95" s="20">
        <f ca="1">IFERROR(__xludf.DUMMYFUNCTION("+BJ93*$D93"),0)</f>
        <v>0</v>
      </c>
      <c r="CB95" s="20"/>
      <c r="CC95" s="20"/>
      <c r="CD95" s="20">
        <f ca="1">IFERROR(__xludf.DUMMYFUNCTION("+BH93+BI93"),0)</f>
        <v>0</v>
      </c>
      <c r="CE95" s="20">
        <f ca="1">IFERROR(__xludf.DUMMYFUNCTION("+BJ93*$D93"),0)</f>
        <v>0</v>
      </c>
      <c r="CG95" s="20"/>
      <c r="CH95" s="20"/>
      <c r="CI95" s="20">
        <f ca="1">IFERROR(__xludf.DUMMYFUNCTION("+BH93+BI93"),0)</f>
        <v>0</v>
      </c>
      <c r="CJ95" s="20">
        <f ca="1">IFERROR(__xludf.DUMMYFUNCTION("+BJ93*$D93"),0)</f>
        <v>0</v>
      </c>
      <c r="CL95" s="20"/>
      <c r="CM95" s="20"/>
      <c r="CN95" s="20">
        <f ca="1">IFERROR(__xludf.DUMMYFUNCTION("+BH93+BI93"),0)</f>
        <v>0</v>
      </c>
      <c r="CO95" s="20">
        <f ca="1">IFERROR(__xludf.DUMMYFUNCTION("+BJ93*$D93"),0)</f>
        <v>0</v>
      </c>
      <c r="CQ95" s="138">
        <f t="shared" ref="CQ95:CQ96" ca="1" si="66">AVERAGE(AU95,AZ95,BE95)</f>
        <v>43478.236666666664</v>
      </c>
    </row>
    <row r="96" spans="1:95" ht="33.5" customHeight="1" x14ac:dyDescent="0.2">
      <c r="A96" s="63" t="s">
        <v>194</v>
      </c>
      <c r="B96" s="47" t="s">
        <v>124</v>
      </c>
      <c r="C96" s="62">
        <v>3</v>
      </c>
      <c r="D96" s="62">
        <f ca="1">IFERROR(__xludf.DUMMYFUNCTION("+C94"),3)</f>
        <v>3</v>
      </c>
      <c r="E96" s="284"/>
      <c r="F96" s="284"/>
      <c r="G96" s="284"/>
      <c r="H96" s="38"/>
      <c r="J96" s="20"/>
      <c r="K96" s="20"/>
      <c r="L96" s="20">
        <f ca="1">IFERROR(__xludf.DUMMYFUNCTION("+J94+K94"),0)</f>
        <v>0</v>
      </c>
      <c r="M96" s="20">
        <f ca="1">IFERROR(__xludf.DUMMYFUNCTION("+L94*$D94"),0)</f>
        <v>0</v>
      </c>
      <c r="O96" s="20"/>
      <c r="P96" s="20"/>
      <c r="Q96" s="20">
        <f ca="1">IFERROR(__xludf.DUMMYFUNCTION("+O94+P94"),0)</f>
        <v>0</v>
      </c>
      <c r="R96" s="20">
        <f ca="1">IFERROR(__xludf.DUMMYFUNCTION("+Q94*$D94"),0)</f>
        <v>0</v>
      </c>
      <c r="T96" s="20"/>
      <c r="U96" s="20"/>
      <c r="V96" s="20">
        <f ca="1">IFERROR(__xludf.DUMMYFUNCTION("+T94+U94"),0)</f>
        <v>0</v>
      </c>
      <c r="W96" s="20">
        <f ca="1">IFERROR(__xludf.DUMMYFUNCTION("+V94*$D94"),0)</f>
        <v>0</v>
      </c>
      <c r="Y96" s="20"/>
      <c r="Z96" s="20"/>
      <c r="AA96" s="20">
        <f ca="1">IFERROR(__xludf.DUMMYFUNCTION("+Y94+Z94"),0)</f>
        <v>0</v>
      </c>
      <c r="AB96" s="20">
        <f ca="1">IFERROR(__xludf.DUMMYFUNCTION("+AA94*$D94"),0)</f>
        <v>0</v>
      </c>
      <c r="AD96" s="20"/>
      <c r="AE96" s="20"/>
      <c r="AF96" s="20">
        <f ca="1">IFERROR(__xludf.DUMMYFUNCTION("+AD94+AE94"),0)</f>
        <v>0</v>
      </c>
      <c r="AG96" s="20">
        <f ca="1">IFERROR(__xludf.DUMMYFUNCTION("+AF94*$D94"),0)</f>
        <v>0</v>
      </c>
      <c r="AI96" s="20"/>
      <c r="AJ96" s="20"/>
      <c r="AK96" s="20">
        <f ca="1">IFERROR(__xludf.DUMMYFUNCTION("+AI94+AJ94"),0)</f>
        <v>0</v>
      </c>
      <c r="AL96" s="20">
        <f ca="1">IFERROR(__xludf.DUMMYFUNCTION("+AK94*$D94"),0)</f>
        <v>0</v>
      </c>
      <c r="AN96" s="20"/>
      <c r="AO96" s="20"/>
      <c r="AP96" s="20">
        <f ca="1">IFERROR(__xludf.DUMMYFUNCTION("+AN94+AO94"),0)</f>
        <v>0</v>
      </c>
      <c r="AQ96" s="20">
        <f ca="1">IFERROR(__xludf.DUMMYFUNCTION("+AP94*$D94"),0)</f>
        <v>0</v>
      </c>
      <c r="AS96" s="20">
        <v>25700</v>
      </c>
      <c r="AT96" s="20">
        <f ca="1">IFERROR(__xludf.DUMMYFUNCTION("+AS94*19%"),4883)</f>
        <v>4883</v>
      </c>
      <c r="AU96" s="20">
        <f ca="1">IFERROR(__xludf.DUMMYFUNCTION("+AS94+AT94"),30583)</f>
        <v>30583</v>
      </c>
      <c r="AV96" s="20">
        <f ca="1">IFERROR(__xludf.DUMMYFUNCTION("+AU94*$D94"),91749)</f>
        <v>91749</v>
      </c>
      <c r="AX96" s="20">
        <v>23900</v>
      </c>
      <c r="AY96" s="20">
        <f ca="1">IFERROR(__xludf.DUMMYFUNCTION("+AX94*19%"),4541)</f>
        <v>4541</v>
      </c>
      <c r="AZ96" s="20">
        <f ca="1">IFERROR(__xludf.DUMMYFUNCTION("+AX94+AY94"),28441)</f>
        <v>28441</v>
      </c>
      <c r="BA96" s="20">
        <f ca="1">IFERROR(__xludf.DUMMYFUNCTION("+AZ94*$D94"),85323)</f>
        <v>85323</v>
      </c>
      <c r="BC96" s="20">
        <f>17200+8000</f>
        <v>25200</v>
      </c>
      <c r="BD96" s="20">
        <f t="shared" si="65"/>
        <v>4788</v>
      </c>
      <c r="BE96" s="20">
        <f ca="1">IFERROR(__xludf.DUMMYFUNCTION("+BC94+BD94"),29988)</f>
        <v>29988</v>
      </c>
      <c r="BF96" s="20">
        <f ca="1">IFERROR(__xludf.DUMMYFUNCTION("+BE94*$D94"),89964)</f>
        <v>89964</v>
      </c>
      <c r="BH96" s="20"/>
      <c r="BI96" s="20"/>
      <c r="BJ96" s="20">
        <f ca="1">IFERROR(__xludf.DUMMYFUNCTION("+BH94+BI94"),0)</f>
        <v>0</v>
      </c>
      <c r="BK96" s="20">
        <f ca="1">IFERROR(__xludf.DUMMYFUNCTION("+BJ94*$D94"),0)</f>
        <v>0</v>
      </c>
      <c r="BM96" s="20"/>
      <c r="BN96" s="20"/>
      <c r="BO96" s="20">
        <f ca="1">IFERROR(__xludf.DUMMYFUNCTION("+BH94+BI94"),0)</f>
        <v>0</v>
      </c>
      <c r="BP96" s="20">
        <f ca="1">IFERROR(__xludf.DUMMYFUNCTION("+BJ94*$D94"),0)</f>
        <v>0</v>
      </c>
      <c r="BR96" s="20"/>
      <c r="BS96" s="20"/>
      <c r="BT96" s="20">
        <f ca="1">IFERROR(__xludf.DUMMYFUNCTION("+BH94+BI94"),0)</f>
        <v>0</v>
      </c>
      <c r="BU96" s="20">
        <f ca="1">IFERROR(__xludf.DUMMYFUNCTION("+BJ94*$D94"),0)</f>
        <v>0</v>
      </c>
      <c r="BW96" s="20"/>
      <c r="BX96" s="20"/>
      <c r="BY96" s="20">
        <f ca="1">IFERROR(__xludf.DUMMYFUNCTION("+BH94+BI94"),0)</f>
        <v>0</v>
      </c>
      <c r="BZ96" s="20">
        <f ca="1">IFERROR(__xludf.DUMMYFUNCTION("+BJ94*$D94"),0)</f>
        <v>0</v>
      </c>
      <c r="CB96" s="20"/>
      <c r="CC96" s="20"/>
      <c r="CD96" s="20">
        <f ca="1">IFERROR(__xludf.DUMMYFUNCTION("+BH94+BI94"),0)</f>
        <v>0</v>
      </c>
      <c r="CE96" s="20">
        <f ca="1">IFERROR(__xludf.DUMMYFUNCTION("+BJ94*$D94"),0)</f>
        <v>0</v>
      </c>
      <c r="CG96" s="20"/>
      <c r="CH96" s="20"/>
      <c r="CI96" s="20">
        <f ca="1">IFERROR(__xludf.DUMMYFUNCTION("+BH94+BI94"),0)</f>
        <v>0</v>
      </c>
      <c r="CJ96" s="20">
        <f ca="1">IFERROR(__xludf.DUMMYFUNCTION("+BJ94*$D94"),0)</f>
        <v>0</v>
      </c>
      <c r="CL96" s="20"/>
      <c r="CM96" s="20"/>
      <c r="CN96" s="20">
        <f ca="1">IFERROR(__xludf.DUMMYFUNCTION("+BH94+BI94"),0)</f>
        <v>0</v>
      </c>
      <c r="CO96" s="20">
        <f ca="1">IFERROR(__xludf.DUMMYFUNCTION("+BJ94*$D94"),0)</f>
        <v>0</v>
      </c>
      <c r="CQ96" s="138">
        <f t="shared" ca="1" si="66"/>
        <v>29670.666666666668</v>
      </c>
    </row>
    <row r="97" spans="1:95" ht="15.75" customHeight="1" x14ac:dyDescent="0.2">
      <c r="A97" s="272" t="s">
        <v>125</v>
      </c>
      <c r="B97" s="273"/>
      <c r="C97" s="273"/>
      <c r="D97" s="273"/>
      <c r="E97" s="273"/>
      <c r="F97" s="273"/>
      <c r="G97" s="273"/>
      <c r="H97" s="274"/>
      <c r="J97" s="10"/>
      <c r="K97" s="11"/>
      <c r="L97" s="11"/>
      <c r="M97" s="12"/>
      <c r="O97" s="10"/>
      <c r="P97" s="11"/>
      <c r="Q97" s="11"/>
      <c r="R97" s="12"/>
      <c r="T97" s="10"/>
      <c r="U97" s="11"/>
      <c r="V97" s="11"/>
      <c r="W97" s="12"/>
      <c r="Y97" s="10"/>
      <c r="Z97" s="11"/>
      <c r="AA97" s="11"/>
      <c r="AB97" s="12"/>
      <c r="AD97" s="10"/>
      <c r="AE97" s="11"/>
      <c r="AF97" s="11"/>
      <c r="AG97" s="12"/>
      <c r="AI97" s="10"/>
      <c r="AJ97" s="11"/>
      <c r="AK97" s="11"/>
      <c r="AL97" s="12"/>
      <c r="AN97" s="10"/>
      <c r="AO97" s="11"/>
      <c r="AP97" s="11"/>
      <c r="AQ97" s="12"/>
      <c r="AS97" s="10"/>
      <c r="AT97" s="11"/>
      <c r="AU97" s="11"/>
      <c r="AV97" s="12"/>
      <c r="AX97" s="10"/>
      <c r="AY97" s="11"/>
      <c r="AZ97" s="11"/>
      <c r="BA97" s="12"/>
      <c r="BC97" s="10"/>
      <c r="BD97" s="11"/>
      <c r="BE97" s="11"/>
      <c r="BF97" s="12"/>
      <c r="BH97" s="10"/>
      <c r="BI97" s="11"/>
      <c r="BJ97" s="11"/>
      <c r="BK97" s="12"/>
      <c r="BM97" s="10"/>
      <c r="BN97" s="11"/>
      <c r="BO97" s="11"/>
      <c r="BP97" s="12"/>
      <c r="BR97" s="10"/>
      <c r="BS97" s="11"/>
      <c r="BT97" s="11"/>
      <c r="BU97" s="12"/>
      <c r="BW97" s="10"/>
      <c r="BX97" s="11"/>
      <c r="BY97" s="11"/>
      <c r="BZ97" s="12"/>
      <c r="CB97" s="10"/>
      <c r="CC97" s="11"/>
      <c r="CD97" s="11"/>
      <c r="CE97" s="12"/>
      <c r="CG97" s="10"/>
      <c r="CH97" s="11"/>
      <c r="CI97" s="11"/>
      <c r="CJ97" s="12"/>
      <c r="CL97" s="10"/>
      <c r="CM97" s="11"/>
      <c r="CN97" s="11"/>
      <c r="CO97" s="12"/>
      <c r="CQ97" s="142"/>
    </row>
    <row r="98" spans="1:95" ht="29" customHeight="1" x14ac:dyDescent="0.2">
      <c r="A98" s="64" t="s">
        <v>126</v>
      </c>
      <c r="B98" s="47" t="s">
        <v>127</v>
      </c>
      <c r="C98" s="47">
        <v>80</v>
      </c>
      <c r="D98" s="47">
        <f ca="1">IFERROR(__xludf.DUMMYFUNCTION("+C96"),80)</f>
        <v>80</v>
      </c>
      <c r="E98" s="65">
        <v>12000</v>
      </c>
      <c r="F98" s="65">
        <v>960000</v>
      </c>
      <c r="G98" s="18">
        <f ca="1">IFERROR(__xludf.DUMMYFUNCTION("+E96*D96"),960000)</f>
        <v>960000</v>
      </c>
      <c r="H98" s="66"/>
      <c r="J98" s="20">
        <v>10903.535</v>
      </c>
      <c r="K98" s="20">
        <v>395.46500000000003</v>
      </c>
      <c r="L98" s="20">
        <f ca="1">IFERROR(__xludf.DUMMYFUNCTION("+J96+K96"),11299)</f>
        <v>11299</v>
      </c>
      <c r="M98" s="20">
        <f ca="1">IFERROR(__xludf.DUMMYFUNCTION("+L96*$D96"),903920)</f>
        <v>903920</v>
      </c>
      <c r="O98" s="20">
        <v>22195</v>
      </c>
      <c r="P98" s="20">
        <v>805.00000000000011</v>
      </c>
      <c r="Q98" s="20">
        <f ca="1">IFERROR(__xludf.DUMMYFUNCTION("+O96+P96"),23000)</f>
        <v>23000</v>
      </c>
      <c r="R98" s="20">
        <f ca="1">IFERROR(__xludf.DUMMYFUNCTION("+Q96*$D96"),1840000)</f>
        <v>1840000</v>
      </c>
      <c r="T98" s="20">
        <v>13796</v>
      </c>
      <c r="U98" s="20">
        <v>1104</v>
      </c>
      <c r="V98" s="20">
        <f ca="1">IFERROR(__xludf.DUMMYFUNCTION("+T96+U96"),14900)</f>
        <v>14900</v>
      </c>
      <c r="W98" s="20">
        <f ca="1">IFERROR(__xludf.DUMMYFUNCTION("+V96*$D96"),1192000)</f>
        <v>1192000</v>
      </c>
      <c r="Y98" s="20"/>
      <c r="Z98" s="20"/>
      <c r="AA98" s="20">
        <f ca="1">IFERROR(__xludf.DUMMYFUNCTION("+Y96+Z96"),0)</f>
        <v>0</v>
      </c>
      <c r="AB98" s="20">
        <f ca="1">IFERROR(__xludf.DUMMYFUNCTION("+AA96*$D96"),0)</f>
        <v>0</v>
      </c>
      <c r="AD98" s="20"/>
      <c r="AE98" s="20"/>
      <c r="AF98" s="20">
        <f ca="1">IFERROR(__xludf.DUMMYFUNCTION("+AD96+AE96"),0)</f>
        <v>0</v>
      </c>
      <c r="AG98" s="20">
        <f ca="1">IFERROR(__xludf.DUMMYFUNCTION("+AF96*$D96"),0)</f>
        <v>0</v>
      </c>
      <c r="AI98" s="20"/>
      <c r="AJ98" s="20"/>
      <c r="AK98" s="20">
        <f ca="1">IFERROR(__xludf.DUMMYFUNCTION("+AI96+AJ96"),0)</f>
        <v>0</v>
      </c>
      <c r="AL98" s="20">
        <f ca="1">IFERROR(__xludf.DUMMYFUNCTION("+AK96*$D96"),0)</f>
        <v>0</v>
      </c>
      <c r="AN98" s="20"/>
      <c r="AO98" s="20"/>
      <c r="AP98" s="20">
        <f ca="1">IFERROR(__xludf.DUMMYFUNCTION("+AN96+AO96"),0)</f>
        <v>0</v>
      </c>
      <c r="AQ98" s="20">
        <f ca="1">IFERROR(__xludf.DUMMYFUNCTION("+AP96*$D96"),0)</f>
        <v>0</v>
      </c>
      <c r="AS98" s="20"/>
      <c r="AT98" s="20"/>
      <c r="AU98" s="20">
        <f ca="1">IFERROR(__xludf.DUMMYFUNCTION("+AS96+AT96"),0)</f>
        <v>0</v>
      </c>
      <c r="AV98" s="20">
        <f ca="1">IFERROR(__xludf.DUMMYFUNCTION("+AU96*$D96"),0)</f>
        <v>0</v>
      </c>
      <c r="AX98" s="20"/>
      <c r="AY98" s="20"/>
      <c r="AZ98" s="20">
        <f ca="1">IFERROR(__xludf.DUMMYFUNCTION("+AX96+AY96"),0)</f>
        <v>0</v>
      </c>
      <c r="BA98" s="20">
        <f ca="1">IFERROR(__xludf.DUMMYFUNCTION("+AZ96*$D96"),0)</f>
        <v>0</v>
      </c>
      <c r="BC98" s="20"/>
      <c r="BD98" s="20"/>
      <c r="BE98" s="20">
        <f ca="1">IFERROR(__xludf.DUMMYFUNCTION("+BC96+BD96"),0)</f>
        <v>0</v>
      </c>
      <c r="BF98" s="20">
        <f ca="1">IFERROR(__xludf.DUMMYFUNCTION("+BE96*$D96"),0)</f>
        <v>0</v>
      </c>
      <c r="BH98" s="20"/>
      <c r="BI98" s="20"/>
      <c r="BJ98" s="20">
        <f ca="1">IFERROR(__xludf.DUMMYFUNCTION("+BH96+BI96"),0)</f>
        <v>0</v>
      </c>
      <c r="BK98" s="20">
        <f ca="1">IFERROR(__xludf.DUMMYFUNCTION("+BJ96*$D96"),0)</f>
        <v>0</v>
      </c>
      <c r="BM98" s="20"/>
      <c r="BN98" s="20"/>
      <c r="BO98" s="20">
        <f ca="1">IFERROR(__xludf.DUMMYFUNCTION("+BH96+BI96"),0)</f>
        <v>0</v>
      </c>
      <c r="BP98" s="20">
        <f ca="1">IFERROR(__xludf.DUMMYFUNCTION("+BJ96*$D96"),0)</f>
        <v>0</v>
      </c>
      <c r="BR98" s="20"/>
      <c r="BS98" s="20"/>
      <c r="BT98" s="20">
        <f ca="1">IFERROR(__xludf.DUMMYFUNCTION("+BH96+BI96"),0)</f>
        <v>0</v>
      </c>
      <c r="BU98" s="20">
        <f ca="1">IFERROR(__xludf.DUMMYFUNCTION("+BJ96*$D96"),0)</f>
        <v>0</v>
      </c>
      <c r="BW98" s="20"/>
      <c r="BX98" s="20"/>
      <c r="BY98" s="20">
        <f ca="1">IFERROR(__xludf.DUMMYFUNCTION("+BH96+BI96"),0)</f>
        <v>0</v>
      </c>
      <c r="BZ98" s="20">
        <f ca="1">IFERROR(__xludf.DUMMYFUNCTION("+BJ96*$D96"),0)</f>
        <v>0</v>
      </c>
      <c r="CB98" s="20"/>
      <c r="CC98" s="20"/>
      <c r="CD98" s="20">
        <f ca="1">IFERROR(__xludf.DUMMYFUNCTION("+BH96+BI96"),0)</f>
        <v>0</v>
      </c>
      <c r="CE98" s="20">
        <f ca="1">IFERROR(__xludf.DUMMYFUNCTION("+BJ96*$D96"),0)</f>
        <v>0</v>
      </c>
      <c r="CG98" s="20"/>
      <c r="CH98" s="20"/>
      <c r="CI98" s="20">
        <f ca="1">IFERROR(__xludf.DUMMYFUNCTION("+BH96+BI96"),0)</f>
        <v>0</v>
      </c>
      <c r="CJ98" s="20">
        <f ca="1">IFERROR(__xludf.DUMMYFUNCTION("+BJ96*$D96"),0)</f>
        <v>0</v>
      </c>
      <c r="CL98" s="20"/>
      <c r="CM98" s="20"/>
      <c r="CN98" s="20">
        <f ca="1">IFERROR(__xludf.DUMMYFUNCTION("+BH96+BI96"),0)</f>
        <v>0</v>
      </c>
      <c r="CO98" s="20">
        <f ca="1">IFERROR(__xludf.DUMMYFUNCTION("+BJ96*$D96"),0)</f>
        <v>0</v>
      </c>
      <c r="CQ98" s="138">
        <f ca="1">AVERAGE(L98,V98)</f>
        <v>13099.5</v>
      </c>
    </row>
    <row r="99" spans="1:95" ht="28.25" customHeight="1" x14ac:dyDescent="0.2">
      <c r="A99" s="64" t="s">
        <v>128</v>
      </c>
      <c r="B99" s="47" t="s">
        <v>127</v>
      </c>
      <c r="C99" s="47">
        <v>80</v>
      </c>
      <c r="D99" s="47">
        <f ca="1">IFERROR(__xludf.DUMMYFUNCTION("+C97"),80)</f>
        <v>80</v>
      </c>
      <c r="E99" s="65">
        <v>12000</v>
      </c>
      <c r="F99" s="65">
        <v>960000</v>
      </c>
      <c r="G99" s="18">
        <f ca="1">IFERROR(__xludf.DUMMYFUNCTION("+E97*D97"),960000)</f>
        <v>960000</v>
      </c>
      <c r="H99" s="66"/>
      <c r="J99" s="20">
        <v>10903.535</v>
      </c>
      <c r="K99" s="20">
        <v>395.46500000000003</v>
      </c>
      <c r="L99" s="20">
        <f ca="1">IFERROR(__xludf.DUMMYFUNCTION("+J97+K97"),11299)</f>
        <v>11299</v>
      </c>
      <c r="M99" s="20">
        <f ca="1">IFERROR(__xludf.DUMMYFUNCTION("+L97*$D97"),903920)</f>
        <v>903920</v>
      </c>
      <c r="O99" s="20">
        <v>22195</v>
      </c>
      <c r="P99" s="20">
        <v>805.00000000000011</v>
      </c>
      <c r="Q99" s="20">
        <f ca="1">IFERROR(__xludf.DUMMYFUNCTION("+O97+P97"),23000)</f>
        <v>23000</v>
      </c>
      <c r="R99" s="20">
        <f ca="1">IFERROR(__xludf.DUMMYFUNCTION("+Q97*$D97"),1840000)</f>
        <v>1840000</v>
      </c>
      <c r="T99" s="20">
        <v>13796</v>
      </c>
      <c r="U99" s="20">
        <v>1104</v>
      </c>
      <c r="V99" s="20">
        <f ca="1">IFERROR(__xludf.DUMMYFUNCTION("+T97+U97"),14900)</f>
        <v>14900</v>
      </c>
      <c r="W99" s="20">
        <f ca="1">IFERROR(__xludf.DUMMYFUNCTION("+V97*$D97"),1192000)</f>
        <v>1192000</v>
      </c>
      <c r="Y99" s="20"/>
      <c r="Z99" s="20"/>
      <c r="AA99" s="20">
        <f ca="1">IFERROR(__xludf.DUMMYFUNCTION("+Y97+Z97"),0)</f>
        <v>0</v>
      </c>
      <c r="AB99" s="20">
        <f ca="1">IFERROR(__xludf.DUMMYFUNCTION("+AA97*$D97"),0)</f>
        <v>0</v>
      </c>
      <c r="AD99" s="20"/>
      <c r="AE99" s="20"/>
      <c r="AF99" s="20">
        <f ca="1">IFERROR(__xludf.DUMMYFUNCTION("+AD97+AE97"),0)</f>
        <v>0</v>
      </c>
      <c r="AG99" s="20">
        <f ca="1">IFERROR(__xludf.DUMMYFUNCTION("+AF97*$D97"),0)</f>
        <v>0</v>
      </c>
      <c r="AI99" s="20"/>
      <c r="AJ99" s="20"/>
      <c r="AK99" s="20">
        <f ca="1">IFERROR(__xludf.DUMMYFUNCTION("+AI97+AJ97"),0)</f>
        <v>0</v>
      </c>
      <c r="AL99" s="20">
        <f ca="1">IFERROR(__xludf.DUMMYFUNCTION("+AK97*$D97"),0)</f>
        <v>0</v>
      </c>
      <c r="AN99" s="20"/>
      <c r="AO99" s="20"/>
      <c r="AP99" s="20">
        <f ca="1">IFERROR(__xludf.DUMMYFUNCTION("+AN97+AO97"),0)</f>
        <v>0</v>
      </c>
      <c r="AQ99" s="20">
        <f ca="1">IFERROR(__xludf.DUMMYFUNCTION("+AP97*$D97"),0)</f>
        <v>0</v>
      </c>
      <c r="AS99" s="20"/>
      <c r="AT99" s="20"/>
      <c r="AU99" s="20">
        <f ca="1">IFERROR(__xludf.DUMMYFUNCTION("+AS97+AT97"),0)</f>
        <v>0</v>
      </c>
      <c r="AV99" s="20">
        <f ca="1">IFERROR(__xludf.DUMMYFUNCTION("+AU97*$D97"),0)</f>
        <v>0</v>
      </c>
      <c r="AX99" s="20"/>
      <c r="AY99" s="20"/>
      <c r="AZ99" s="20">
        <f ca="1">IFERROR(__xludf.DUMMYFUNCTION("+AX97+AY97"),0)</f>
        <v>0</v>
      </c>
      <c r="BA99" s="20">
        <f ca="1">IFERROR(__xludf.DUMMYFUNCTION("+AZ97*$D97"),0)</f>
        <v>0</v>
      </c>
      <c r="BC99" s="20"/>
      <c r="BD99" s="20"/>
      <c r="BE99" s="20">
        <f ca="1">IFERROR(__xludf.DUMMYFUNCTION("+BC97+BD97"),0)</f>
        <v>0</v>
      </c>
      <c r="BF99" s="20">
        <f ca="1">IFERROR(__xludf.DUMMYFUNCTION("+BE97*$D97"),0)</f>
        <v>0</v>
      </c>
      <c r="BH99" s="20"/>
      <c r="BI99" s="20"/>
      <c r="BJ99" s="20">
        <f ca="1">IFERROR(__xludf.DUMMYFUNCTION("+BH97+BI97"),0)</f>
        <v>0</v>
      </c>
      <c r="BK99" s="20">
        <f ca="1">IFERROR(__xludf.DUMMYFUNCTION("+BJ97*$D97"),0)</f>
        <v>0</v>
      </c>
      <c r="BM99" s="20"/>
      <c r="BN99" s="20"/>
      <c r="BO99" s="20">
        <f ca="1">IFERROR(__xludf.DUMMYFUNCTION("+BH97+BI97"),0)</f>
        <v>0</v>
      </c>
      <c r="BP99" s="20">
        <f ca="1">IFERROR(__xludf.DUMMYFUNCTION("+BJ97*$D97"),0)</f>
        <v>0</v>
      </c>
      <c r="BR99" s="20"/>
      <c r="BS99" s="20"/>
      <c r="BT99" s="20">
        <f ca="1">IFERROR(__xludf.DUMMYFUNCTION("+BH97+BI97"),0)</f>
        <v>0</v>
      </c>
      <c r="BU99" s="20">
        <f ca="1">IFERROR(__xludf.DUMMYFUNCTION("+BJ97*$D97"),0)</f>
        <v>0</v>
      </c>
      <c r="BW99" s="20"/>
      <c r="BX99" s="20"/>
      <c r="BY99" s="20">
        <f ca="1">IFERROR(__xludf.DUMMYFUNCTION("+BH97+BI97"),0)</f>
        <v>0</v>
      </c>
      <c r="BZ99" s="20">
        <f ca="1">IFERROR(__xludf.DUMMYFUNCTION("+BJ97*$D97"),0)</f>
        <v>0</v>
      </c>
      <c r="CB99" s="20"/>
      <c r="CC99" s="20"/>
      <c r="CD99" s="20">
        <f ca="1">IFERROR(__xludf.DUMMYFUNCTION("+BH97+BI97"),0)</f>
        <v>0</v>
      </c>
      <c r="CE99" s="20">
        <f ca="1">IFERROR(__xludf.DUMMYFUNCTION("+BJ97*$D97"),0)</f>
        <v>0</v>
      </c>
      <c r="CG99" s="20"/>
      <c r="CH99" s="20"/>
      <c r="CI99" s="20">
        <f ca="1">IFERROR(__xludf.DUMMYFUNCTION("+BH97+BI97"),0)</f>
        <v>0</v>
      </c>
      <c r="CJ99" s="20">
        <f ca="1">IFERROR(__xludf.DUMMYFUNCTION("+BJ97*$D97"),0)</f>
        <v>0</v>
      </c>
      <c r="CL99" s="20"/>
      <c r="CM99" s="20"/>
      <c r="CN99" s="20">
        <f ca="1">IFERROR(__xludf.DUMMYFUNCTION("+BH97+BI97"),0)</f>
        <v>0</v>
      </c>
      <c r="CO99" s="20">
        <f ca="1">IFERROR(__xludf.DUMMYFUNCTION("+BJ97*$D97"),0)</f>
        <v>0</v>
      </c>
      <c r="CQ99" s="138">
        <f t="shared" ref="CQ99:CQ100" ca="1" si="67">AVERAGE(L99,V99)</f>
        <v>13099.5</v>
      </c>
    </row>
    <row r="100" spans="1:95" ht="29.5" customHeight="1" x14ac:dyDescent="0.2">
      <c r="A100" s="64" t="s">
        <v>129</v>
      </c>
      <c r="B100" s="47" t="s">
        <v>127</v>
      </c>
      <c r="C100" s="47">
        <v>80</v>
      </c>
      <c r="D100" s="47">
        <f ca="1">IFERROR(__xludf.DUMMYFUNCTION("+C98"),80)</f>
        <v>80</v>
      </c>
      <c r="E100" s="65">
        <v>12000</v>
      </c>
      <c r="F100" s="65">
        <v>960000</v>
      </c>
      <c r="G100" s="18">
        <f ca="1">IFERROR(__xludf.DUMMYFUNCTION("+E98*D98"),960000)</f>
        <v>960000</v>
      </c>
      <c r="H100" s="66"/>
      <c r="J100" s="20">
        <v>10903.535</v>
      </c>
      <c r="K100" s="20">
        <v>395.46500000000003</v>
      </c>
      <c r="L100" s="20">
        <f ca="1">IFERROR(__xludf.DUMMYFUNCTION("+J98+K98"),11299)</f>
        <v>11299</v>
      </c>
      <c r="M100" s="20">
        <f ca="1">IFERROR(__xludf.DUMMYFUNCTION("+L98*$D98"),903920)</f>
        <v>903920</v>
      </c>
      <c r="O100" s="20">
        <v>22195</v>
      </c>
      <c r="P100" s="20">
        <v>805.00000000000011</v>
      </c>
      <c r="Q100" s="20">
        <f ca="1">IFERROR(__xludf.DUMMYFUNCTION("+O98+P98"),23000)</f>
        <v>23000</v>
      </c>
      <c r="R100" s="20">
        <f ca="1">IFERROR(__xludf.DUMMYFUNCTION("+Q98*$D98"),1840000)</f>
        <v>1840000</v>
      </c>
      <c r="T100" s="20">
        <v>13796</v>
      </c>
      <c r="U100" s="20">
        <v>1104</v>
      </c>
      <c r="V100" s="20">
        <f ca="1">IFERROR(__xludf.DUMMYFUNCTION("+T98+U98"),14900)</f>
        <v>14900</v>
      </c>
      <c r="W100" s="20">
        <f ca="1">IFERROR(__xludf.DUMMYFUNCTION("+V98*$D98"),1192000)</f>
        <v>1192000</v>
      </c>
      <c r="Y100" s="20"/>
      <c r="Z100" s="20"/>
      <c r="AA100" s="20">
        <f ca="1">IFERROR(__xludf.DUMMYFUNCTION("+Y98+Z98"),0)</f>
        <v>0</v>
      </c>
      <c r="AB100" s="20">
        <f ca="1">IFERROR(__xludf.DUMMYFUNCTION("+AA98*$D98"),0)</f>
        <v>0</v>
      </c>
      <c r="AD100" s="20"/>
      <c r="AE100" s="20"/>
      <c r="AF100" s="20">
        <f ca="1">IFERROR(__xludf.DUMMYFUNCTION("+AD98+AE98"),0)</f>
        <v>0</v>
      </c>
      <c r="AG100" s="20">
        <f ca="1">IFERROR(__xludf.DUMMYFUNCTION("+AF98*$D98"),0)</f>
        <v>0</v>
      </c>
      <c r="AI100" s="20"/>
      <c r="AJ100" s="20"/>
      <c r="AK100" s="20">
        <f ca="1">IFERROR(__xludf.DUMMYFUNCTION("+AI98+AJ98"),0)</f>
        <v>0</v>
      </c>
      <c r="AL100" s="20">
        <f ca="1">IFERROR(__xludf.DUMMYFUNCTION("+AK98*$D98"),0)</f>
        <v>0</v>
      </c>
      <c r="AN100" s="20"/>
      <c r="AO100" s="20"/>
      <c r="AP100" s="20">
        <f ca="1">IFERROR(__xludf.DUMMYFUNCTION("+AN98+AO98"),0)</f>
        <v>0</v>
      </c>
      <c r="AQ100" s="20">
        <f ca="1">IFERROR(__xludf.DUMMYFUNCTION("+AP98*$D98"),0)</f>
        <v>0</v>
      </c>
      <c r="AS100" s="20"/>
      <c r="AT100" s="20"/>
      <c r="AU100" s="20">
        <f ca="1">IFERROR(__xludf.DUMMYFUNCTION("+AS98+AT98"),0)</f>
        <v>0</v>
      </c>
      <c r="AV100" s="20">
        <f ca="1">IFERROR(__xludf.DUMMYFUNCTION("+AU98*$D98"),0)</f>
        <v>0</v>
      </c>
      <c r="AX100" s="20"/>
      <c r="AY100" s="20"/>
      <c r="AZ100" s="20">
        <f ca="1">IFERROR(__xludf.DUMMYFUNCTION("+AX98+AY98"),0)</f>
        <v>0</v>
      </c>
      <c r="BA100" s="20">
        <f ca="1">IFERROR(__xludf.DUMMYFUNCTION("+AZ98*$D98"),0)</f>
        <v>0</v>
      </c>
      <c r="BC100" s="20"/>
      <c r="BD100" s="20"/>
      <c r="BE100" s="20">
        <f ca="1">IFERROR(__xludf.DUMMYFUNCTION("+BC98+BD98"),0)</f>
        <v>0</v>
      </c>
      <c r="BF100" s="20">
        <f ca="1">IFERROR(__xludf.DUMMYFUNCTION("+BE98*$D98"),0)</f>
        <v>0</v>
      </c>
      <c r="BH100" s="20"/>
      <c r="BI100" s="20"/>
      <c r="BJ100" s="20">
        <f ca="1">IFERROR(__xludf.DUMMYFUNCTION("+BH98+BI98"),0)</f>
        <v>0</v>
      </c>
      <c r="BK100" s="20">
        <f ca="1">IFERROR(__xludf.DUMMYFUNCTION("+BJ98*$D98"),0)</f>
        <v>0</v>
      </c>
      <c r="BM100" s="20"/>
      <c r="BN100" s="20"/>
      <c r="BO100" s="20">
        <f ca="1">IFERROR(__xludf.DUMMYFUNCTION("+BH98+BI98"),0)</f>
        <v>0</v>
      </c>
      <c r="BP100" s="20">
        <f ca="1">IFERROR(__xludf.DUMMYFUNCTION("+BJ98*$D98"),0)</f>
        <v>0</v>
      </c>
      <c r="BR100" s="20"/>
      <c r="BS100" s="20"/>
      <c r="BT100" s="20">
        <f ca="1">IFERROR(__xludf.DUMMYFUNCTION("+BH98+BI98"),0)</f>
        <v>0</v>
      </c>
      <c r="BU100" s="20">
        <f ca="1">IFERROR(__xludf.DUMMYFUNCTION("+BJ98*$D98"),0)</f>
        <v>0</v>
      </c>
      <c r="BW100" s="20"/>
      <c r="BX100" s="20"/>
      <c r="BY100" s="20">
        <f ca="1">IFERROR(__xludf.DUMMYFUNCTION("+BH98+BI98"),0)</f>
        <v>0</v>
      </c>
      <c r="BZ100" s="20">
        <f ca="1">IFERROR(__xludf.DUMMYFUNCTION("+BJ98*$D98"),0)</f>
        <v>0</v>
      </c>
      <c r="CB100" s="20"/>
      <c r="CC100" s="20"/>
      <c r="CD100" s="20">
        <f ca="1">IFERROR(__xludf.DUMMYFUNCTION("+BH98+BI98"),0)</f>
        <v>0</v>
      </c>
      <c r="CE100" s="20">
        <f ca="1">IFERROR(__xludf.DUMMYFUNCTION("+BJ98*$D98"),0)</f>
        <v>0</v>
      </c>
      <c r="CG100" s="20"/>
      <c r="CH100" s="20"/>
      <c r="CI100" s="20">
        <f ca="1">IFERROR(__xludf.DUMMYFUNCTION("+BH98+BI98"),0)</f>
        <v>0</v>
      </c>
      <c r="CJ100" s="20">
        <f ca="1">IFERROR(__xludf.DUMMYFUNCTION("+BJ98*$D98"),0)</f>
        <v>0</v>
      </c>
      <c r="CL100" s="20"/>
      <c r="CM100" s="20"/>
      <c r="CN100" s="20">
        <f ca="1">IFERROR(__xludf.DUMMYFUNCTION("+BH98+BI98"),0)</f>
        <v>0</v>
      </c>
      <c r="CO100" s="20">
        <f ca="1">IFERROR(__xludf.DUMMYFUNCTION("+BJ98*$D98"),0)</f>
        <v>0</v>
      </c>
      <c r="CQ100" s="138">
        <f t="shared" ca="1" si="67"/>
        <v>13099.5</v>
      </c>
    </row>
    <row r="101" spans="1:95" ht="15.75" customHeight="1" x14ac:dyDescent="0.2">
      <c r="A101" s="64" t="s">
        <v>130</v>
      </c>
      <c r="B101" s="47" t="s">
        <v>131</v>
      </c>
      <c r="C101" s="47">
        <v>12</v>
      </c>
      <c r="D101" s="47">
        <f ca="1">IFERROR(__xludf.DUMMYFUNCTION("+C99"),12)</f>
        <v>12</v>
      </c>
      <c r="E101" s="65">
        <v>480000</v>
      </c>
      <c r="F101" s="65">
        <v>5760000</v>
      </c>
      <c r="G101" s="18">
        <f ca="1">IFERROR(__xludf.DUMMYFUNCTION("+E99*D99"),5760000)</f>
        <v>5760000</v>
      </c>
      <c r="H101" s="66"/>
      <c r="J101" s="20"/>
      <c r="K101" s="20"/>
      <c r="L101" s="20">
        <f ca="1">IFERROR(__xludf.DUMMYFUNCTION("+J99+K99"),0)</f>
        <v>0</v>
      </c>
      <c r="M101" s="20">
        <f ca="1">IFERROR(__xludf.DUMMYFUNCTION("+L99*$D99"),0)</f>
        <v>0</v>
      </c>
      <c r="O101" s="20"/>
      <c r="P101" s="20"/>
      <c r="Q101" s="20">
        <f ca="1">IFERROR(__xludf.DUMMYFUNCTION("+O99+P99"),0)</f>
        <v>0</v>
      </c>
      <c r="R101" s="20">
        <f ca="1">IFERROR(__xludf.DUMMYFUNCTION("+Q99*$D99"),0)</f>
        <v>0</v>
      </c>
      <c r="T101" s="20"/>
      <c r="U101" s="20"/>
      <c r="V101" s="20">
        <f ca="1">IFERROR(__xludf.DUMMYFUNCTION("+T99+U99"),0)</f>
        <v>0</v>
      </c>
      <c r="W101" s="20">
        <f ca="1">IFERROR(__xludf.DUMMYFUNCTION("+V99*$D99"),0)</f>
        <v>0</v>
      </c>
      <c r="Y101" s="20"/>
      <c r="Z101" s="20"/>
      <c r="AA101" s="20">
        <f ca="1">IFERROR(__xludf.DUMMYFUNCTION("+Y99+Z99"),0)</f>
        <v>0</v>
      </c>
      <c r="AB101" s="20">
        <f ca="1">IFERROR(__xludf.DUMMYFUNCTION("+AA99*$D99"),0)</f>
        <v>0</v>
      </c>
      <c r="AD101" s="20"/>
      <c r="AE101" s="20"/>
      <c r="AF101" s="20">
        <f ca="1">IFERROR(__xludf.DUMMYFUNCTION("+AD99+AE99"),0)</f>
        <v>0</v>
      </c>
      <c r="AG101" s="20">
        <f ca="1">IFERROR(__xludf.DUMMYFUNCTION("+AF99*$D99"),0)</f>
        <v>0</v>
      </c>
      <c r="AI101" s="20"/>
      <c r="AJ101" s="20"/>
      <c r="AK101" s="20">
        <f ca="1">IFERROR(__xludf.DUMMYFUNCTION("+AI99+AJ99"),0)</f>
        <v>0</v>
      </c>
      <c r="AL101" s="20">
        <f ca="1">IFERROR(__xludf.DUMMYFUNCTION("+AK99*$D99"),0)</f>
        <v>0</v>
      </c>
      <c r="AM101" s="67"/>
      <c r="AN101" s="20"/>
      <c r="AO101" s="20"/>
      <c r="AP101" s="20">
        <f ca="1">IFERROR(__xludf.DUMMYFUNCTION("+AN99+AO99"),0)</f>
        <v>0</v>
      </c>
      <c r="AQ101" s="20">
        <f ca="1">IFERROR(__xludf.DUMMYFUNCTION("+AP99*$D99"),0)</f>
        <v>0</v>
      </c>
      <c r="AS101" s="20"/>
      <c r="AT101" s="20"/>
      <c r="AU101" s="20">
        <f ca="1">IFERROR(__xludf.DUMMYFUNCTION("+AS99+AT99"),0)</f>
        <v>0</v>
      </c>
      <c r="AV101" s="20">
        <f ca="1">IFERROR(__xludf.DUMMYFUNCTION("+AU99*$D99"),0)</f>
        <v>0</v>
      </c>
      <c r="AX101" s="20"/>
      <c r="AY101" s="20"/>
      <c r="AZ101" s="20">
        <f ca="1">IFERROR(__xludf.DUMMYFUNCTION("+AX99+AY99"),0)</f>
        <v>0</v>
      </c>
      <c r="BA101" s="20">
        <f ca="1">IFERROR(__xludf.DUMMYFUNCTION("+AZ99*$D99"),0)</f>
        <v>0</v>
      </c>
      <c r="BC101" s="20"/>
      <c r="BD101" s="20"/>
      <c r="BE101" s="20">
        <f ca="1">IFERROR(__xludf.DUMMYFUNCTION("+BC99+BD99"),0)</f>
        <v>0</v>
      </c>
      <c r="BF101" s="20">
        <f ca="1">IFERROR(__xludf.DUMMYFUNCTION("+BE99*$D99"),0)</f>
        <v>0</v>
      </c>
      <c r="BH101" s="20"/>
      <c r="BI101" s="20"/>
      <c r="BJ101" s="20">
        <f ca="1">IFERROR(__xludf.DUMMYFUNCTION("+BH99+BI99"),0)</f>
        <v>0</v>
      </c>
      <c r="BK101" s="20">
        <f ca="1">IFERROR(__xludf.DUMMYFUNCTION("+BJ99*$D99"),0)</f>
        <v>0</v>
      </c>
      <c r="BM101" s="20"/>
      <c r="BN101" s="20"/>
      <c r="BO101" s="20">
        <f ca="1">IFERROR(__xludf.DUMMYFUNCTION("+BH99+BI99"),0)</f>
        <v>0</v>
      </c>
      <c r="BP101" s="20">
        <f ca="1">IFERROR(__xludf.DUMMYFUNCTION("+BJ99*$D99"),0)</f>
        <v>0</v>
      </c>
      <c r="BR101" s="20"/>
      <c r="BS101" s="20"/>
      <c r="BT101" s="20">
        <f ca="1">IFERROR(__xludf.DUMMYFUNCTION("+BH99+BI99"),0)</f>
        <v>0</v>
      </c>
      <c r="BU101" s="20">
        <f ca="1">IFERROR(__xludf.DUMMYFUNCTION("+BJ99*$D99"),0)</f>
        <v>0</v>
      </c>
      <c r="BW101" s="20"/>
      <c r="BX101" s="20"/>
      <c r="BY101" s="20">
        <f ca="1">IFERROR(__xludf.DUMMYFUNCTION("+BH99+BI99"),0)</f>
        <v>0</v>
      </c>
      <c r="BZ101" s="20">
        <f ca="1">IFERROR(__xludf.DUMMYFUNCTION("+BJ99*$D99"),0)</f>
        <v>0</v>
      </c>
      <c r="CB101" s="20"/>
      <c r="CC101" s="20"/>
      <c r="CD101" s="20">
        <f ca="1">IFERROR(__xludf.DUMMYFUNCTION("+BH99+BI99"),0)</f>
        <v>0</v>
      </c>
      <c r="CE101" s="20">
        <f ca="1">IFERROR(__xludf.DUMMYFUNCTION("+BJ99*$D99"),0)</f>
        <v>0</v>
      </c>
      <c r="CG101" s="20">
        <v>481250</v>
      </c>
      <c r="CH101" s="20">
        <f>CG101*0.12</f>
        <v>57750</v>
      </c>
      <c r="CI101" s="20">
        <f>CG101+CH101</f>
        <v>539000</v>
      </c>
      <c r="CJ101" s="20">
        <f ca="1">CI101*D101</f>
        <v>6468000</v>
      </c>
      <c r="CL101" s="20">
        <v>822800</v>
      </c>
      <c r="CM101" s="20"/>
      <c r="CN101" s="20">
        <f>CL101</f>
        <v>822800</v>
      </c>
      <c r="CO101" s="20">
        <f ca="1">CN101*D101</f>
        <v>9873600</v>
      </c>
      <c r="CQ101" s="138">
        <f>AVERAGE(CI101,CN101)</f>
        <v>680900</v>
      </c>
    </row>
    <row r="102" spans="1:95" ht="15.75" customHeight="1" x14ac:dyDescent="0.2">
      <c r="A102" s="272" t="s">
        <v>132</v>
      </c>
      <c r="B102" s="273"/>
      <c r="C102" s="273"/>
      <c r="D102" s="273"/>
      <c r="E102" s="273"/>
      <c r="F102" s="273"/>
      <c r="G102" s="273"/>
      <c r="H102" s="274"/>
      <c r="J102" s="10"/>
      <c r="K102" s="11"/>
      <c r="L102" s="11"/>
      <c r="M102" s="12"/>
      <c r="O102" s="10"/>
      <c r="P102" s="11"/>
      <c r="Q102" s="11"/>
      <c r="R102" s="12"/>
      <c r="T102" s="10"/>
      <c r="U102" s="11"/>
      <c r="V102" s="11"/>
      <c r="W102" s="12"/>
      <c r="Y102" s="10"/>
      <c r="Z102" s="11"/>
      <c r="AA102" s="11"/>
      <c r="AB102" s="12"/>
      <c r="AD102" s="10"/>
      <c r="AE102" s="11"/>
      <c r="AF102" s="11"/>
      <c r="AG102" s="12"/>
      <c r="AI102" s="10"/>
      <c r="AJ102" s="11"/>
      <c r="AK102" s="11"/>
      <c r="AL102" s="12"/>
      <c r="AM102" s="45"/>
      <c r="AN102" s="10"/>
      <c r="AO102" s="11"/>
      <c r="AP102" s="11"/>
      <c r="AQ102" s="12"/>
      <c r="AS102" s="10"/>
      <c r="AT102" s="11"/>
      <c r="AU102" s="11"/>
      <c r="AV102" s="12"/>
      <c r="AX102" s="10"/>
      <c r="AY102" s="11"/>
      <c r="AZ102" s="11"/>
      <c r="BA102" s="12"/>
      <c r="BC102" s="10"/>
      <c r="BD102" s="11"/>
      <c r="BE102" s="11"/>
      <c r="BF102" s="12"/>
      <c r="BH102" s="10"/>
      <c r="BI102" s="11"/>
      <c r="BJ102" s="11"/>
      <c r="BK102" s="12"/>
      <c r="BM102" s="10"/>
      <c r="BN102" s="11"/>
      <c r="BO102" s="11"/>
      <c r="BP102" s="12"/>
      <c r="BR102" s="10"/>
      <c r="BS102" s="11"/>
      <c r="BT102" s="11"/>
      <c r="BU102" s="12"/>
      <c r="BW102" s="10"/>
      <c r="BX102" s="11"/>
      <c r="BY102" s="11"/>
      <c r="BZ102" s="12"/>
      <c r="CB102" s="10"/>
      <c r="CC102" s="11"/>
      <c r="CD102" s="11"/>
      <c r="CE102" s="12"/>
      <c r="CG102" s="10"/>
      <c r="CH102" s="11"/>
      <c r="CI102" s="11"/>
      <c r="CJ102" s="12"/>
      <c r="CL102" s="10"/>
      <c r="CM102" s="11"/>
      <c r="CN102" s="11"/>
      <c r="CO102" s="12"/>
      <c r="CQ102" s="142"/>
    </row>
    <row r="103" spans="1:95" ht="30.5" customHeight="1" x14ac:dyDescent="0.2">
      <c r="A103" s="64" t="s">
        <v>191</v>
      </c>
      <c r="B103" s="47" t="s">
        <v>13</v>
      </c>
      <c r="C103" s="47">
        <v>80</v>
      </c>
      <c r="D103" s="47">
        <f ca="1">IFERROR(__xludf.DUMMYFUNCTION("+C101"),80)</f>
        <v>80</v>
      </c>
      <c r="E103" s="65">
        <v>40000</v>
      </c>
      <c r="F103" s="65">
        <v>3200000</v>
      </c>
      <c r="G103" s="18">
        <f ca="1">IFERROR(__xludf.DUMMYFUNCTION("+E101*D101"),3200000)</f>
        <v>3200000</v>
      </c>
      <c r="H103" s="66"/>
      <c r="J103" s="20"/>
      <c r="K103" s="20"/>
      <c r="L103" s="20">
        <f ca="1">IFERROR(__xludf.DUMMYFUNCTION("+J101+K101"),0)</f>
        <v>0</v>
      </c>
      <c r="M103" s="20">
        <f ca="1">IFERROR(__xludf.DUMMYFUNCTION("+L101*$D101"),0)</f>
        <v>0</v>
      </c>
      <c r="O103" s="20"/>
      <c r="P103" s="20"/>
      <c r="Q103" s="20">
        <f ca="1">IFERROR(__xludf.DUMMYFUNCTION("+O101+P101"),0)</f>
        <v>0</v>
      </c>
      <c r="R103" s="20">
        <f ca="1">IFERROR(__xludf.DUMMYFUNCTION("+Q101*$D101"),0)</f>
        <v>0</v>
      </c>
      <c r="T103" s="20"/>
      <c r="U103" s="20"/>
      <c r="V103" s="20">
        <f ca="1">IFERROR(__xludf.DUMMYFUNCTION("+T101+U101"),0)</f>
        <v>0</v>
      </c>
      <c r="W103" s="20">
        <f ca="1">IFERROR(__xludf.DUMMYFUNCTION("+V101*$D101"),0)</f>
        <v>0</v>
      </c>
      <c r="Y103" s="20"/>
      <c r="Z103" s="20"/>
      <c r="AA103" s="20">
        <f ca="1">IFERROR(__xludf.DUMMYFUNCTION("+Y101+Z101"),0)</f>
        <v>0</v>
      </c>
      <c r="AB103" s="20">
        <f ca="1">IFERROR(__xludf.DUMMYFUNCTION("+AA101*$D101"),0)</f>
        <v>0</v>
      </c>
      <c r="AD103" s="20"/>
      <c r="AE103" s="20"/>
      <c r="AF103" s="20">
        <f ca="1">IFERROR(__xludf.DUMMYFUNCTION("+AD101+AE101"),0)</f>
        <v>0</v>
      </c>
      <c r="AG103" s="20">
        <f ca="1">IFERROR(__xludf.DUMMYFUNCTION("+AF101*$D101"),0)</f>
        <v>0</v>
      </c>
      <c r="AI103" s="20"/>
      <c r="AJ103" s="20"/>
      <c r="AK103" s="20">
        <f ca="1">IFERROR(__xludf.DUMMYFUNCTION("+AI101+AJ101"),0)</f>
        <v>0</v>
      </c>
      <c r="AL103" s="20">
        <f ca="1">IFERROR(__xludf.DUMMYFUNCTION("+AK101*$D101"),0)</f>
        <v>0</v>
      </c>
      <c r="AM103" s="67"/>
      <c r="AN103" s="20"/>
      <c r="AO103" s="20"/>
      <c r="AP103" s="20">
        <f ca="1">IFERROR(__xludf.DUMMYFUNCTION("+AN101+AO101"),0)</f>
        <v>0</v>
      </c>
      <c r="AQ103" s="20">
        <f ca="1">IFERROR(__xludf.DUMMYFUNCTION("+AP101*$D101"),0)</f>
        <v>0</v>
      </c>
      <c r="AS103" s="20">
        <v>25700</v>
      </c>
      <c r="AT103" s="20">
        <f ca="1">IFERROR(__xludf.DUMMYFUNCTION("+AS101*19%"),4883)</f>
        <v>4883</v>
      </c>
      <c r="AU103" s="20">
        <f ca="1">IFERROR(__xludf.DUMMYFUNCTION("+AS101+AT101"),30583)</f>
        <v>30583</v>
      </c>
      <c r="AV103" s="20">
        <f ca="1">IFERROR(__xludf.DUMMYFUNCTION("+AU101*$D101"),2446640)</f>
        <v>2446640</v>
      </c>
      <c r="AX103" s="20">
        <v>23900</v>
      </c>
      <c r="AY103" s="20">
        <f ca="1">IFERROR(__xludf.DUMMYFUNCTION("+AX101*19%"),4541)</f>
        <v>4541</v>
      </c>
      <c r="AZ103" s="20">
        <f ca="1">IFERROR(__xludf.DUMMYFUNCTION("+AX101+AY101"),28441)</f>
        <v>28441</v>
      </c>
      <c r="BA103" s="20">
        <f ca="1">IFERROR(__xludf.DUMMYFUNCTION("+AZ101*$D101"),2275280)</f>
        <v>2275280</v>
      </c>
      <c r="BC103" s="20">
        <f>14000+8000</f>
        <v>22000</v>
      </c>
      <c r="BD103" s="20">
        <f>BC103*19%</f>
        <v>4180</v>
      </c>
      <c r="BE103" s="20">
        <f ca="1">IFERROR(__xludf.DUMMYFUNCTION("+BC101+BD101"),26180)</f>
        <v>26180</v>
      </c>
      <c r="BF103" s="20">
        <f ca="1">IFERROR(__xludf.DUMMYFUNCTION("+BE101*$D101"),2094400)</f>
        <v>2094400</v>
      </c>
      <c r="BH103" s="20"/>
      <c r="BI103" s="20"/>
      <c r="BJ103" s="20">
        <f ca="1">IFERROR(__xludf.DUMMYFUNCTION("+BH101+BI101"),0)</f>
        <v>0</v>
      </c>
      <c r="BK103" s="20">
        <f ca="1">IFERROR(__xludf.DUMMYFUNCTION("+BJ101*$D101"),0)</f>
        <v>0</v>
      </c>
      <c r="BM103" s="20"/>
      <c r="BN103" s="20"/>
      <c r="BO103" s="20">
        <f ca="1">IFERROR(__xludf.DUMMYFUNCTION("+BH101+BI101"),0)</f>
        <v>0</v>
      </c>
      <c r="BP103" s="20">
        <f ca="1">IFERROR(__xludf.DUMMYFUNCTION("+BJ101*$D101"),0)</f>
        <v>0</v>
      </c>
      <c r="BR103" s="20"/>
      <c r="BS103" s="20"/>
      <c r="BT103" s="20">
        <f ca="1">IFERROR(__xludf.DUMMYFUNCTION("+BH101+BI101"),0)</f>
        <v>0</v>
      </c>
      <c r="BU103" s="20">
        <f ca="1">IFERROR(__xludf.DUMMYFUNCTION("+BJ101*$D101"),0)</f>
        <v>0</v>
      </c>
      <c r="BW103" s="20"/>
      <c r="BX103" s="20"/>
      <c r="BY103" s="20">
        <f ca="1">IFERROR(__xludf.DUMMYFUNCTION("+BH101+BI101"),0)</f>
        <v>0</v>
      </c>
      <c r="BZ103" s="20">
        <f ca="1">IFERROR(__xludf.DUMMYFUNCTION("+BJ101*$D101"),0)</f>
        <v>0</v>
      </c>
      <c r="CB103" s="20"/>
      <c r="CC103" s="20"/>
      <c r="CD103" s="20">
        <f ca="1">IFERROR(__xludf.DUMMYFUNCTION("+BH101+BI101"),0)</f>
        <v>0</v>
      </c>
      <c r="CE103" s="20">
        <f ca="1">IFERROR(__xludf.DUMMYFUNCTION("+BJ101*$D101"),0)</f>
        <v>0</v>
      </c>
      <c r="CG103" s="20"/>
      <c r="CH103" s="20"/>
      <c r="CI103" s="20">
        <f ca="1">IFERROR(__xludf.DUMMYFUNCTION("+BH101+BI101"),0)</f>
        <v>0</v>
      </c>
      <c r="CJ103" s="20">
        <f ca="1">IFERROR(__xludf.DUMMYFUNCTION("+BJ101*$D101"),0)</f>
        <v>0</v>
      </c>
      <c r="CL103" s="20"/>
      <c r="CM103" s="20"/>
      <c r="CN103" s="20">
        <f ca="1">IFERROR(__xludf.DUMMYFUNCTION("+BH101+BI101"),0)</f>
        <v>0</v>
      </c>
      <c r="CO103" s="20">
        <f ca="1">IFERROR(__xludf.DUMMYFUNCTION("+BJ101*$D101"),0)</f>
        <v>0</v>
      </c>
      <c r="CQ103" s="138">
        <f ca="1">AVERAGE(AU103,AZ103,BE103)</f>
        <v>28401.333333333332</v>
      </c>
    </row>
    <row r="104" spans="1:95" ht="15.75" customHeight="1" x14ac:dyDescent="0.2"/>
    <row r="105" spans="1:95" ht="15.75" customHeight="1" x14ac:dyDescent="0.2"/>
    <row r="106" spans="1:95" ht="15.75" customHeight="1" x14ac:dyDescent="0.2"/>
    <row r="107" spans="1:95" ht="15.75" customHeight="1" x14ac:dyDescent="0.2"/>
    <row r="108" spans="1:95" ht="15.75" customHeight="1" x14ac:dyDescent="0.2"/>
    <row r="109" spans="1:95" ht="15.75" customHeight="1" x14ac:dyDescent="0.2"/>
    <row r="110" spans="1:95" ht="15.75" customHeight="1" x14ac:dyDescent="0.2"/>
    <row r="111" spans="1:95" ht="15.75" customHeight="1" x14ac:dyDescent="0.2"/>
    <row r="112" spans="1:9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8">
    <mergeCell ref="A102:H102"/>
    <mergeCell ref="CG5:CJ5"/>
    <mergeCell ref="CL5:CO5"/>
    <mergeCell ref="AD5:AG5"/>
    <mergeCell ref="AI5:AL5"/>
    <mergeCell ref="AN5:AQ5"/>
    <mergeCell ref="BM5:CE5"/>
    <mergeCell ref="Y5:AB5"/>
    <mergeCell ref="E94:E96"/>
    <mergeCell ref="F94:F96"/>
    <mergeCell ref="G94:G96"/>
    <mergeCell ref="A97:H97"/>
    <mergeCell ref="CG4:CO4"/>
    <mergeCell ref="CQ5:CQ6"/>
    <mergeCell ref="A71:H71"/>
    <mergeCell ref="A93:H93"/>
    <mergeCell ref="A7:H7"/>
    <mergeCell ref="A11:H11"/>
    <mergeCell ref="A20:H20"/>
    <mergeCell ref="A46:H46"/>
    <mergeCell ref="A51:H51"/>
    <mergeCell ref="AS5:AV5"/>
    <mergeCell ref="AX5:BA5"/>
    <mergeCell ref="BH5:BK5"/>
    <mergeCell ref="BC5:BF5"/>
    <mergeCell ref="J5:M5"/>
    <mergeCell ref="O5:R5"/>
    <mergeCell ref="T5:W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>
      <selection activeCell="B17" sqref="B17"/>
    </sheetView>
  </sheetViews>
  <sheetFormatPr baseColWidth="10" defaultColWidth="12.6640625" defaultRowHeight="15" customHeight="1" x14ac:dyDescent="0.2"/>
  <cols>
    <col min="1" max="1" width="48.6640625" customWidth="1"/>
    <col min="2" max="3" width="10.6640625" customWidth="1"/>
    <col min="4" max="4" width="14.83203125" customWidth="1"/>
    <col min="5" max="5" width="16.33203125" customWidth="1"/>
    <col min="6" max="6" width="44" customWidth="1"/>
    <col min="7" max="26" width="10.6640625" customWidth="1"/>
  </cols>
  <sheetData>
    <row r="1" spans="1:6" ht="15" customHeight="1" x14ac:dyDescent="0.2">
      <c r="A1" s="286" t="s">
        <v>211</v>
      </c>
      <c r="B1" s="273"/>
      <c r="C1" s="273"/>
      <c r="D1" s="273"/>
      <c r="E1" s="273"/>
      <c r="F1" s="274"/>
    </row>
    <row r="2" spans="1:6" x14ac:dyDescent="0.2">
      <c r="A2" s="287" t="s">
        <v>12</v>
      </c>
      <c r="B2" s="287" t="s">
        <v>13</v>
      </c>
      <c r="C2" s="288" t="s">
        <v>148</v>
      </c>
      <c r="D2" s="289" t="s">
        <v>16</v>
      </c>
      <c r="E2" s="270" t="s">
        <v>149</v>
      </c>
      <c r="F2" s="290" t="s">
        <v>19</v>
      </c>
    </row>
    <row r="3" spans="1:6" x14ac:dyDescent="0.2">
      <c r="A3" s="284"/>
      <c r="B3" s="284"/>
      <c r="C3" s="284"/>
      <c r="D3" s="284"/>
      <c r="E3" s="284"/>
      <c r="F3" s="284"/>
    </row>
    <row r="4" spans="1:6" x14ac:dyDescent="0.2">
      <c r="A4" s="286" t="s">
        <v>209</v>
      </c>
      <c r="B4" s="273"/>
      <c r="C4" s="273"/>
      <c r="D4" s="273"/>
      <c r="E4" s="273"/>
      <c r="F4" s="274"/>
    </row>
    <row r="5" spans="1:6" x14ac:dyDescent="0.2">
      <c r="A5" s="72" t="s">
        <v>150</v>
      </c>
      <c r="B5" s="72"/>
      <c r="C5" s="72"/>
      <c r="D5" s="72"/>
      <c r="E5" s="72"/>
      <c r="F5" s="72"/>
    </row>
    <row r="6" spans="1:6" x14ac:dyDescent="0.2">
      <c r="A6" s="14" t="s">
        <v>273</v>
      </c>
      <c r="B6" s="15" t="s">
        <v>23</v>
      </c>
      <c r="C6" s="16">
        <v>1000</v>
      </c>
      <c r="D6" s="17">
        <f ca="1">COTIZACIONES!CQ8</f>
        <v>1723.75</v>
      </c>
      <c r="E6" s="18">
        <f ca="1">D6*C6</f>
        <v>1723750</v>
      </c>
      <c r="F6" s="19"/>
    </row>
    <row r="7" spans="1:6" x14ac:dyDescent="0.2">
      <c r="A7" s="38"/>
      <c r="B7" s="38"/>
      <c r="C7" s="38"/>
      <c r="D7" s="38"/>
      <c r="E7" s="38"/>
      <c r="F7" s="38"/>
    </row>
    <row r="8" spans="1:6" x14ac:dyDescent="0.2">
      <c r="A8" s="272" t="s">
        <v>151</v>
      </c>
      <c r="B8" s="273"/>
      <c r="C8" s="273"/>
      <c r="D8" s="273"/>
      <c r="E8" s="273"/>
      <c r="F8" s="274"/>
    </row>
    <row r="9" spans="1:6" x14ac:dyDescent="0.2">
      <c r="A9" s="287" t="s">
        <v>12</v>
      </c>
      <c r="B9" s="287" t="s">
        <v>13</v>
      </c>
      <c r="C9" s="288" t="s">
        <v>148</v>
      </c>
      <c r="D9" s="289" t="s">
        <v>16</v>
      </c>
      <c r="E9" s="270" t="s">
        <v>149</v>
      </c>
      <c r="F9" s="290" t="s">
        <v>19</v>
      </c>
    </row>
    <row r="10" spans="1:6" x14ac:dyDescent="0.2">
      <c r="A10" s="284"/>
      <c r="B10" s="284"/>
      <c r="C10" s="284"/>
      <c r="D10" s="284"/>
      <c r="E10" s="284"/>
      <c r="F10" s="284"/>
    </row>
    <row r="11" spans="1:6" x14ac:dyDescent="0.2">
      <c r="A11" s="286" t="s">
        <v>152</v>
      </c>
      <c r="B11" s="273"/>
      <c r="C11" s="273"/>
      <c r="D11" s="273"/>
      <c r="E11" s="273"/>
      <c r="F11" s="274"/>
    </row>
    <row r="12" spans="1:6" x14ac:dyDescent="0.2">
      <c r="A12" s="72" t="s">
        <v>153</v>
      </c>
      <c r="B12" s="72"/>
      <c r="C12" s="72"/>
      <c r="D12" s="72"/>
      <c r="E12" s="72"/>
      <c r="F12" s="72"/>
    </row>
    <row r="13" spans="1:6" x14ac:dyDescent="0.2">
      <c r="A13" s="14" t="s">
        <v>210</v>
      </c>
      <c r="B13" s="15" t="s">
        <v>23</v>
      </c>
      <c r="C13" s="22">
        <v>100</v>
      </c>
      <c r="D13" s="23">
        <f ca="1">COTIZACIONES!CQ9</f>
        <v>1723.75</v>
      </c>
      <c r="E13" s="24">
        <f ca="1">D13*C13</f>
        <v>172375</v>
      </c>
      <c r="F13" s="19" t="s">
        <v>266</v>
      </c>
    </row>
    <row r="14" spans="1:6" x14ac:dyDescent="0.2">
      <c r="A14" s="38"/>
      <c r="B14" s="38"/>
      <c r="C14" s="38"/>
      <c r="D14" s="38"/>
      <c r="E14" s="38"/>
      <c r="F14" s="38"/>
    </row>
    <row r="15" spans="1:6" x14ac:dyDescent="0.2">
      <c r="A15" s="286" t="s">
        <v>154</v>
      </c>
      <c r="B15" s="273"/>
      <c r="C15" s="273"/>
      <c r="D15" s="273"/>
      <c r="E15" s="273"/>
      <c r="F15" s="274"/>
    </row>
    <row r="16" spans="1:6" x14ac:dyDescent="0.2">
      <c r="A16" s="72" t="s">
        <v>153</v>
      </c>
      <c r="B16" s="72"/>
      <c r="C16" s="72"/>
      <c r="D16" s="72"/>
      <c r="E16" s="72"/>
      <c r="F16" s="72"/>
    </row>
    <row r="17" spans="1:6" x14ac:dyDescent="0.2">
      <c r="A17" s="14" t="s">
        <v>210</v>
      </c>
      <c r="B17" s="15" t="s">
        <v>23</v>
      </c>
      <c r="C17" s="22">
        <v>100</v>
      </c>
      <c r="D17" s="23">
        <f ca="1">COTIZACIONES!CQ10</f>
        <v>1723.75</v>
      </c>
      <c r="E17" s="24">
        <f ca="1">D17*C17</f>
        <v>172375</v>
      </c>
      <c r="F17" s="19" t="s">
        <v>267</v>
      </c>
    </row>
    <row r="18" spans="1:6" x14ac:dyDescent="0.2">
      <c r="A18" s="38"/>
      <c r="B18" s="38"/>
      <c r="C18" s="38"/>
      <c r="D18" s="38"/>
      <c r="E18" s="38"/>
      <c r="F18" s="38"/>
    </row>
    <row r="19" spans="1:6" x14ac:dyDescent="0.2">
      <c r="A19" s="73" t="s">
        <v>155</v>
      </c>
      <c r="B19" s="74"/>
      <c r="C19" s="74"/>
      <c r="D19" s="75"/>
      <c r="E19" s="76"/>
      <c r="F19" s="38"/>
    </row>
    <row r="20" spans="1:6" x14ac:dyDescent="0.2">
      <c r="A20" s="77" t="s">
        <v>156</v>
      </c>
      <c r="B20" s="26" t="s">
        <v>157</v>
      </c>
      <c r="C20" s="26">
        <v>1</v>
      </c>
      <c r="D20" s="17">
        <f ca="1">SUM(E6+E13+E17)*0.2</f>
        <v>413700</v>
      </c>
      <c r="E20" s="18">
        <f ca="1">C20*D20</f>
        <v>413700</v>
      </c>
      <c r="F20" s="38"/>
    </row>
    <row r="21" spans="1:6" ht="15.75" customHeight="1" x14ac:dyDescent="0.2">
      <c r="A21" s="38"/>
      <c r="B21" s="38"/>
      <c r="C21" s="38"/>
      <c r="D21" s="38"/>
      <c r="E21" s="38"/>
      <c r="F21" s="38"/>
    </row>
    <row r="22" spans="1:6" ht="27" customHeight="1" x14ac:dyDescent="0.2">
      <c r="A22" s="291" t="s">
        <v>207</v>
      </c>
      <c r="B22" s="273"/>
      <c r="C22" s="273"/>
      <c r="D22" s="274"/>
      <c r="E22" s="226">
        <f ca="1">E6+E13+E17+E20</f>
        <v>2482200</v>
      </c>
      <c r="F22" s="38"/>
    </row>
    <row r="23" spans="1:6" ht="30" customHeight="1" x14ac:dyDescent="0.2">
      <c r="A23" s="291" t="s">
        <v>208</v>
      </c>
      <c r="B23" s="273"/>
      <c r="C23" s="273"/>
      <c r="D23" s="274"/>
      <c r="E23" s="78">
        <f ca="1">E22*80</f>
        <v>198576000</v>
      </c>
      <c r="F23" s="38"/>
    </row>
    <row r="24" spans="1:6" ht="15.75" customHeight="1" x14ac:dyDescent="0.2"/>
    <row r="25" spans="1:6" ht="15.75" customHeight="1" x14ac:dyDescent="0.2">
      <c r="D25">
        <f>1200*80</f>
        <v>96000</v>
      </c>
    </row>
    <row r="26" spans="1:6" ht="15.75" customHeight="1" x14ac:dyDescent="0.2"/>
    <row r="27" spans="1:6" ht="15.75" customHeight="1" x14ac:dyDescent="0.2"/>
    <row r="28" spans="1:6" ht="15.75" customHeight="1" x14ac:dyDescent="0.2">
      <c r="D28" s="143"/>
      <c r="E28" s="143"/>
    </row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9">
    <mergeCell ref="A11:F11"/>
    <mergeCell ref="A15:F15"/>
    <mergeCell ref="A22:D22"/>
    <mergeCell ref="A23:D23"/>
    <mergeCell ref="A1:F1"/>
    <mergeCell ref="A2:A3"/>
    <mergeCell ref="B2:B3"/>
    <mergeCell ref="C2:C3"/>
    <mergeCell ref="D2:D3"/>
    <mergeCell ref="E2:E3"/>
    <mergeCell ref="F2:F3"/>
    <mergeCell ref="A4:F4"/>
    <mergeCell ref="A8:F8"/>
    <mergeCell ref="A9:A10"/>
    <mergeCell ref="B9:B10"/>
    <mergeCell ref="C9:C10"/>
    <mergeCell ref="D9:D10"/>
    <mergeCell ref="E9:E10"/>
    <mergeCell ref="F9:F1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1"/>
  <sheetViews>
    <sheetView workbookViewId="0">
      <selection activeCell="A31" sqref="A31"/>
    </sheetView>
  </sheetViews>
  <sheetFormatPr baseColWidth="10" defaultColWidth="12.6640625" defaultRowHeight="15" customHeight="1" x14ac:dyDescent="0.2"/>
  <cols>
    <col min="1" max="1" width="69.5" customWidth="1"/>
    <col min="2" max="2" width="15.6640625" customWidth="1"/>
    <col min="3" max="4" width="10.6640625" customWidth="1"/>
    <col min="5" max="5" width="14" customWidth="1"/>
    <col min="6" max="6" width="24" customWidth="1"/>
    <col min="7" max="7" width="15.83203125" customWidth="1"/>
    <col min="8" max="25" width="10.6640625" customWidth="1"/>
  </cols>
  <sheetData>
    <row r="1" spans="1:7" x14ac:dyDescent="0.2">
      <c r="A1" s="286" t="s">
        <v>26</v>
      </c>
      <c r="B1" s="273"/>
      <c r="C1" s="273"/>
      <c r="D1" s="273"/>
      <c r="E1" s="273"/>
      <c r="F1" s="274"/>
    </row>
    <row r="2" spans="1:7" ht="28" x14ac:dyDescent="0.2">
      <c r="A2" s="79" t="s">
        <v>12</v>
      </c>
      <c r="B2" s="80" t="s">
        <v>13</v>
      </c>
      <c r="C2" s="81" t="s">
        <v>148</v>
      </c>
      <c r="D2" s="82" t="s">
        <v>16</v>
      </c>
      <c r="E2" s="83" t="s">
        <v>149</v>
      </c>
      <c r="F2" s="8" t="s">
        <v>19</v>
      </c>
    </row>
    <row r="3" spans="1:7" x14ac:dyDescent="0.2">
      <c r="A3" s="272" t="s">
        <v>158</v>
      </c>
      <c r="B3" s="273"/>
      <c r="C3" s="273"/>
      <c r="D3" s="273"/>
      <c r="E3" s="273"/>
      <c r="F3" s="274"/>
    </row>
    <row r="4" spans="1:7" x14ac:dyDescent="0.2">
      <c r="A4" s="84" t="s">
        <v>159</v>
      </c>
      <c r="B4" s="85"/>
      <c r="C4" s="85"/>
      <c r="D4" s="85"/>
      <c r="E4" s="85"/>
      <c r="F4" s="86"/>
    </row>
    <row r="5" spans="1:7" ht="14" customHeight="1" x14ac:dyDescent="0.2">
      <c r="A5" s="25" t="s">
        <v>271</v>
      </c>
      <c r="B5" s="26" t="s">
        <v>23</v>
      </c>
      <c r="C5" s="16">
        <v>60</v>
      </c>
      <c r="D5" s="17">
        <f ca="1">COTIZACIONES!CQ12</f>
        <v>3865</v>
      </c>
      <c r="E5" s="18">
        <f t="shared" ref="E5:E12" ca="1" si="0">D5*C5</f>
        <v>231900</v>
      </c>
      <c r="F5" s="27"/>
    </row>
    <row r="6" spans="1:7" ht="14" customHeight="1" x14ac:dyDescent="0.2">
      <c r="A6" s="25" t="s">
        <v>270</v>
      </c>
      <c r="B6" s="26" t="s">
        <v>23</v>
      </c>
      <c r="C6" s="16">
        <v>15</v>
      </c>
      <c r="D6" s="17">
        <f ca="1">COTIZACIONES!CQ13</f>
        <v>3865</v>
      </c>
      <c r="E6" s="18">
        <f t="shared" ca="1" si="0"/>
        <v>57975</v>
      </c>
      <c r="F6" s="27"/>
    </row>
    <row r="7" spans="1:7" x14ac:dyDescent="0.2">
      <c r="A7" s="29" t="s">
        <v>262</v>
      </c>
      <c r="B7" s="26" t="s">
        <v>23</v>
      </c>
      <c r="C7" s="16">
        <v>25</v>
      </c>
      <c r="D7" s="17">
        <f>COTIZACIONES!CQ14</f>
        <v>9112.5</v>
      </c>
      <c r="E7" s="18">
        <f t="shared" si="0"/>
        <v>227812.5</v>
      </c>
      <c r="F7" s="27"/>
    </row>
    <row r="8" spans="1:7" x14ac:dyDescent="0.2">
      <c r="A8" s="29" t="s">
        <v>269</v>
      </c>
      <c r="B8" s="26" t="s">
        <v>23</v>
      </c>
      <c r="C8" s="16">
        <v>10</v>
      </c>
      <c r="D8" s="17">
        <f ca="1">COTIZACIONES!CQ15</f>
        <v>20310</v>
      </c>
      <c r="E8" s="18">
        <f t="shared" ca="1" si="0"/>
        <v>203100</v>
      </c>
      <c r="F8" s="27"/>
    </row>
    <row r="9" spans="1:7" x14ac:dyDescent="0.2">
      <c r="A9" s="29" t="s">
        <v>268</v>
      </c>
      <c r="B9" s="26" t="s">
        <v>31</v>
      </c>
      <c r="C9" s="16">
        <v>10</v>
      </c>
      <c r="D9" s="17">
        <f>COTIZACIONES!CQ16</f>
        <v>25112.5</v>
      </c>
      <c r="E9" s="18">
        <f t="shared" si="0"/>
        <v>251125</v>
      </c>
      <c r="F9" s="27"/>
    </row>
    <row r="10" spans="1:7" x14ac:dyDescent="0.2">
      <c r="A10" s="130" t="s">
        <v>196</v>
      </c>
      <c r="B10" s="131" t="s">
        <v>199</v>
      </c>
      <c r="C10" s="132">
        <v>1</v>
      </c>
      <c r="D10" s="144">
        <f>COTIZACIONES!CQ17</f>
        <v>45687.5</v>
      </c>
      <c r="E10" s="18">
        <f t="shared" si="0"/>
        <v>45687.5</v>
      </c>
      <c r="F10" s="125"/>
    </row>
    <row r="11" spans="1:7" x14ac:dyDescent="0.2">
      <c r="A11" s="130" t="s">
        <v>197</v>
      </c>
      <c r="B11" s="131" t="s">
        <v>200</v>
      </c>
      <c r="C11" s="132">
        <v>1</v>
      </c>
      <c r="D11" s="144">
        <f>COTIZACIONES!CQ18</f>
        <v>38737.5</v>
      </c>
      <c r="E11" s="18">
        <f t="shared" si="0"/>
        <v>38737.5</v>
      </c>
      <c r="F11" s="125"/>
    </row>
    <row r="12" spans="1:7" x14ac:dyDescent="0.2">
      <c r="A12" s="130" t="s">
        <v>198</v>
      </c>
      <c r="B12" s="133" t="s">
        <v>201</v>
      </c>
      <c r="C12" s="134">
        <v>1</v>
      </c>
      <c r="D12" s="30">
        <f>COTIZACIONES!CQ19</f>
        <v>9581.25</v>
      </c>
      <c r="E12" s="18">
        <f t="shared" si="0"/>
        <v>9581.25</v>
      </c>
      <c r="F12" s="32"/>
    </row>
    <row r="13" spans="1:7" x14ac:dyDescent="0.2">
      <c r="A13" s="292" t="s">
        <v>160</v>
      </c>
      <c r="B13" s="273"/>
      <c r="C13" s="273"/>
      <c r="D13" s="274"/>
      <c r="E13" s="18">
        <f ca="1">SUM(E5:E12)</f>
        <v>1065918.75</v>
      </c>
      <c r="F13" s="87"/>
    </row>
    <row r="14" spans="1:7" x14ac:dyDescent="0.2">
      <c r="A14" s="88" t="s">
        <v>155</v>
      </c>
      <c r="B14" s="89"/>
      <c r="C14" s="89"/>
      <c r="D14" s="90"/>
      <c r="E14" s="91"/>
      <c r="F14" s="92"/>
      <c r="G14" s="93"/>
    </row>
    <row r="15" spans="1:7" x14ac:dyDescent="0.2">
      <c r="A15" s="29" t="s">
        <v>156</v>
      </c>
      <c r="B15" s="26" t="s">
        <v>157</v>
      </c>
      <c r="C15" s="26">
        <v>1</v>
      </c>
      <c r="D15" s="17">
        <f ca="1">E13*0.2</f>
        <v>213183.75</v>
      </c>
      <c r="E15" s="18">
        <f ca="1">C15*D15</f>
        <v>213183.75</v>
      </c>
      <c r="F15" s="77"/>
      <c r="G15" s="143"/>
    </row>
    <row r="16" spans="1:7" x14ac:dyDescent="0.2">
      <c r="A16" s="293" t="s">
        <v>161</v>
      </c>
      <c r="B16" s="273"/>
      <c r="C16" s="273"/>
      <c r="D16" s="274"/>
      <c r="E16" s="94">
        <f ca="1">E13+E15</f>
        <v>1279102.5</v>
      </c>
      <c r="F16" s="95"/>
    </row>
    <row r="18" spans="1:6" x14ac:dyDescent="0.2">
      <c r="A18" s="272" t="s">
        <v>206</v>
      </c>
      <c r="B18" s="273"/>
      <c r="C18" s="273"/>
      <c r="D18" s="274"/>
      <c r="E18" s="96">
        <f ca="1">E16</f>
        <v>1279102.5</v>
      </c>
      <c r="F18" s="38"/>
    </row>
    <row r="19" spans="1:6" x14ac:dyDescent="0.2">
      <c r="A19" s="272" t="s">
        <v>205</v>
      </c>
      <c r="B19" s="273"/>
      <c r="C19" s="273"/>
      <c r="D19" s="274"/>
      <c r="E19" s="97">
        <f ca="1">E18*80</f>
        <v>102328200</v>
      </c>
      <c r="F19" s="38"/>
    </row>
    <row r="22" spans="1:6" ht="15.75" customHeight="1" x14ac:dyDescent="0.2">
      <c r="A22" s="220"/>
    </row>
    <row r="23" spans="1:6" ht="15.75" customHeight="1" x14ac:dyDescent="0.2">
      <c r="A23" s="220"/>
    </row>
    <row r="24" spans="1:6" ht="15.75" customHeight="1" x14ac:dyDescent="0.2"/>
    <row r="25" spans="1:6" ht="15.75" customHeight="1" x14ac:dyDescent="0.2"/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">
    <mergeCell ref="A19:D19"/>
    <mergeCell ref="A1:F1"/>
    <mergeCell ref="A3:F3"/>
    <mergeCell ref="A13:D13"/>
    <mergeCell ref="A16:D16"/>
    <mergeCell ref="A18:D1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workbookViewId="0">
      <selection activeCell="E37" sqref="E37"/>
    </sheetView>
  </sheetViews>
  <sheetFormatPr baseColWidth="10" defaultColWidth="12.6640625" defaultRowHeight="15" customHeight="1" x14ac:dyDescent="0.2"/>
  <cols>
    <col min="1" max="1" width="48.6640625" customWidth="1"/>
    <col min="2" max="2" width="22" customWidth="1"/>
    <col min="3" max="3" width="10.6640625" customWidth="1"/>
    <col min="4" max="4" width="13.83203125" customWidth="1"/>
    <col min="5" max="5" width="17.6640625" customWidth="1"/>
    <col min="6" max="6" width="18.33203125" customWidth="1"/>
    <col min="7" max="26" width="10.6640625" customWidth="1"/>
  </cols>
  <sheetData>
    <row r="1" spans="1:6" x14ac:dyDescent="0.2">
      <c r="A1" s="272" t="s">
        <v>32</v>
      </c>
      <c r="B1" s="273"/>
      <c r="C1" s="273"/>
      <c r="D1" s="273"/>
      <c r="E1" s="273"/>
      <c r="F1" s="274"/>
    </row>
    <row r="2" spans="1:6" x14ac:dyDescent="0.2">
      <c r="A2" s="3" t="s">
        <v>12</v>
      </c>
      <c r="B2" s="3" t="s">
        <v>13</v>
      </c>
      <c r="C2" s="4" t="s">
        <v>164</v>
      </c>
      <c r="D2" s="5" t="s">
        <v>16</v>
      </c>
      <c r="E2" s="6" t="s">
        <v>165</v>
      </c>
      <c r="F2" s="7" t="s">
        <v>19</v>
      </c>
    </row>
    <row r="3" spans="1:6" ht="29" x14ac:dyDescent="0.2">
      <c r="A3" s="33" t="s">
        <v>33</v>
      </c>
      <c r="B3" s="34" t="s">
        <v>34</v>
      </c>
      <c r="C3" s="35">
        <v>2</v>
      </c>
      <c r="D3" s="36">
        <f>COTIZACIONES!CQ21</f>
        <v>71400</v>
      </c>
      <c r="E3" s="37">
        <f>C3*D3</f>
        <v>142800</v>
      </c>
      <c r="F3" s="38"/>
    </row>
    <row r="4" spans="1:6" ht="28" x14ac:dyDescent="0.2">
      <c r="A4" s="39" t="s">
        <v>35</v>
      </c>
      <c r="B4" s="34" t="s">
        <v>34</v>
      </c>
      <c r="C4" s="35">
        <v>2</v>
      </c>
      <c r="D4" s="36">
        <f>COTIZACIONES!CQ22</f>
        <v>146890.625</v>
      </c>
      <c r="E4" s="37">
        <f t="shared" ref="E4:E27" si="0">C4*D4</f>
        <v>293781.25</v>
      </c>
      <c r="F4" s="38"/>
    </row>
    <row r="5" spans="1:6" x14ac:dyDescent="0.2">
      <c r="A5" s="40" t="s">
        <v>36</v>
      </c>
      <c r="B5" s="34" t="s">
        <v>13</v>
      </c>
      <c r="C5" s="35">
        <v>1</v>
      </c>
      <c r="D5" s="36">
        <f>COTIZACIONES!CQ23</f>
        <v>17493</v>
      </c>
      <c r="E5" s="37">
        <f t="shared" si="0"/>
        <v>17493</v>
      </c>
      <c r="F5" s="38"/>
    </row>
    <row r="6" spans="1:6" x14ac:dyDescent="0.2">
      <c r="A6" s="40" t="s">
        <v>37</v>
      </c>
      <c r="B6" s="34" t="s">
        <v>38</v>
      </c>
      <c r="C6" s="35">
        <v>2</v>
      </c>
      <c r="D6" s="36">
        <f>COTIZACIONES!CQ24</f>
        <v>13152.475</v>
      </c>
      <c r="E6" s="37">
        <f t="shared" si="0"/>
        <v>26304.95</v>
      </c>
      <c r="F6" s="38"/>
    </row>
    <row r="7" spans="1:6" x14ac:dyDescent="0.2">
      <c r="A7" s="40" t="s">
        <v>39</v>
      </c>
      <c r="B7" s="34" t="s">
        <v>13</v>
      </c>
      <c r="C7" s="35">
        <v>1</v>
      </c>
      <c r="D7" s="36">
        <f>COTIZACIONES!CQ25</f>
        <v>16240.5525</v>
      </c>
      <c r="E7" s="37">
        <f t="shared" si="0"/>
        <v>16240.5525</v>
      </c>
      <c r="F7" s="38"/>
    </row>
    <row r="8" spans="1:6" x14ac:dyDescent="0.2">
      <c r="A8" s="40" t="s">
        <v>40</v>
      </c>
      <c r="B8" s="34" t="s">
        <v>41</v>
      </c>
      <c r="C8" s="35">
        <v>3</v>
      </c>
      <c r="D8" s="36">
        <f>COTIZACIONES!CQ26</f>
        <v>3027.0625</v>
      </c>
      <c r="E8" s="37">
        <f t="shared" si="0"/>
        <v>9081.1875</v>
      </c>
      <c r="F8" s="38"/>
    </row>
    <row r="9" spans="1:6" x14ac:dyDescent="0.2">
      <c r="A9" s="40" t="s">
        <v>42</v>
      </c>
      <c r="B9" s="34" t="s">
        <v>43</v>
      </c>
      <c r="C9" s="35">
        <v>1</v>
      </c>
      <c r="D9" s="36">
        <f>COTIZACIONES!CQ27</f>
        <v>47659.5</v>
      </c>
      <c r="E9" s="37">
        <f t="shared" si="0"/>
        <v>47659.5</v>
      </c>
      <c r="F9" s="38"/>
    </row>
    <row r="10" spans="1:6" x14ac:dyDescent="0.2">
      <c r="A10" s="40" t="s">
        <v>44</v>
      </c>
      <c r="B10" s="34" t="s">
        <v>45</v>
      </c>
      <c r="C10" s="35">
        <v>1</v>
      </c>
      <c r="D10" s="36">
        <f>COTIZACIONES!CQ28</f>
        <v>44937.375</v>
      </c>
      <c r="E10" s="37">
        <f t="shared" si="0"/>
        <v>44937.375</v>
      </c>
      <c r="F10" s="38"/>
    </row>
    <row r="11" spans="1:6" x14ac:dyDescent="0.2">
      <c r="A11" s="98" t="s">
        <v>46</v>
      </c>
      <c r="B11" s="34" t="s">
        <v>47</v>
      </c>
      <c r="C11" s="35">
        <v>1</v>
      </c>
      <c r="D11" s="36">
        <f>COTIZACIONES!CQ29</f>
        <v>45510.0625</v>
      </c>
      <c r="E11" s="37">
        <f t="shared" si="0"/>
        <v>45510.0625</v>
      </c>
      <c r="F11" s="38"/>
    </row>
    <row r="12" spans="1:6" x14ac:dyDescent="0.2">
      <c r="A12" s="98" t="s">
        <v>48</v>
      </c>
      <c r="B12" s="34" t="s">
        <v>49</v>
      </c>
      <c r="C12" s="35">
        <v>2</v>
      </c>
      <c r="D12" s="36">
        <f>COTIZACIONES!CQ30</f>
        <v>13552.511350000001</v>
      </c>
      <c r="E12" s="37">
        <f t="shared" si="0"/>
        <v>27105.022700000001</v>
      </c>
      <c r="F12" s="38"/>
    </row>
    <row r="13" spans="1:6" x14ac:dyDescent="0.2">
      <c r="A13" s="98" t="s">
        <v>50</v>
      </c>
      <c r="B13" s="34" t="s">
        <v>51</v>
      </c>
      <c r="C13" s="35">
        <v>3</v>
      </c>
      <c r="D13" s="36">
        <f>COTIZACIONES!CQ31</f>
        <v>7305.1125000000002</v>
      </c>
      <c r="E13" s="37">
        <f t="shared" si="0"/>
        <v>21915.337500000001</v>
      </c>
      <c r="F13" s="38"/>
    </row>
    <row r="14" spans="1:6" x14ac:dyDescent="0.2">
      <c r="A14" s="40" t="s">
        <v>52</v>
      </c>
      <c r="B14" s="34" t="s">
        <v>51</v>
      </c>
      <c r="C14" s="35">
        <v>2</v>
      </c>
      <c r="D14" s="36">
        <f>COTIZACIONES!CQ32</f>
        <v>38124.625</v>
      </c>
      <c r="E14" s="37">
        <f t="shared" si="0"/>
        <v>76249.25</v>
      </c>
      <c r="F14" s="38"/>
    </row>
    <row r="15" spans="1:6" x14ac:dyDescent="0.2">
      <c r="A15" s="98" t="s">
        <v>53</v>
      </c>
      <c r="B15" s="34" t="s">
        <v>54</v>
      </c>
      <c r="C15" s="35">
        <v>2</v>
      </c>
      <c r="D15" s="36">
        <f>COTIZACIONES!CQ33</f>
        <v>17493</v>
      </c>
      <c r="E15" s="37">
        <f t="shared" si="0"/>
        <v>34986</v>
      </c>
      <c r="F15" s="38"/>
    </row>
    <row r="16" spans="1:6" x14ac:dyDescent="0.2">
      <c r="A16" s="40" t="s">
        <v>55</v>
      </c>
      <c r="B16" s="34" t="s">
        <v>51</v>
      </c>
      <c r="C16" s="35">
        <v>1</v>
      </c>
      <c r="D16" s="36">
        <f>COTIZACIONES!CQ34</f>
        <v>6166.58</v>
      </c>
      <c r="E16" s="37">
        <f t="shared" si="0"/>
        <v>6166.58</v>
      </c>
      <c r="F16" s="38"/>
    </row>
    <row r="17" spans="1:6" x14ac:dyDescent="0.2">
      <c r="A17" s="40" t="s">
        <v>56</v>
      </c>
      <c r="B17" s="34" t="s">
        <v>51</v>
      </c>
      <c r="C17" s="35">
        <v>2</v>
      </c>
      <c r="D17" s="36">
        <f>COTIZACIONES!CQ35</f>
        <v>21330.75</v>
      </c>
      <c r="E17" s="37">
        <f t="shared" si="0"/>
        <v>42661.5</v>
      </c>
      <c r="F17" s="38"/>
    </row>
    <row r="18" spans="1:6" x14ac:dyDescent="0.2">
      <c r="A18" s="40" t="s">
        <v>57</v>
      </c>
      <c r="B18" s="34" t="s">
        <v>47</v>
      </c>
      <c r="C18" s="35">
        <v>1</v>
      </c>
      <c r="D18" s="36">
        <f>COTIZACIONES!CQ36</f>
        <v>85010.625</v>
      </c>
      <c r="E18" s="37">
        <f t="shared" si="0"/>
        <v>85010.625</v>
      </c>
      <c r="F18" s="38"/>
    </row>
    <row r="19" spans="1:6" x14ac:dyDescent="0.2">
      <c r="A19" s="40" t="s">
        <v>58</v>
      </c>
      <c r="B19" s="34" t="s">
        <v>51</v>
      </c>
      <c r="C19" s="35">
        <v>2</v>
      </c>
      <c r="D19" s="36">
        <f>COTIZACIONES!CQ37</f>
        <v>2543.625</v>
      </c>
      <c r="E19" s="37">
        <f t="shared" si="0"/>
        <v>5087.25</v>
      </c>
      <c r="F19" s="38"/>
    </row>
    <row r="20" spans="1:6" ht="18.75" customHeight="1" x14ac:dyDescent="0.2">
      <c r="A20" s="52" t="s">
        <v>59</v>
      </c>
      <c r="B20" s="34" t="s">
        <v>60</v>
      </c>
      <c r="C20" s="35">
        <v>2</v>
      </c>
      <c r="D20" s="36">
        <f>COTIZACIONES!CQ38</f>
        <v>49937.16</v>
      </c>
      <c r="E20" s="37">
        <f t="shared" si="0"/>
        <v>99874.32</v>
      </c>
      <c r="F20" s="38"/>
    </row>
    <row r="21" spans="1:6" ht="15.75" customHeight="1" x14ac:dyDescent="0.2">
      <c r="A21" s="98" t="s">
        <v>61</v>
      </c>
      <c r="B21" s="34" t="s">
        <v>62</v>
      </c>
      <c r="C21" s="35">
        <v>2</v>
      </c>
      <c r="D21" s="36">
        <f>COTIZACIONES!CQ39</f>
        <v>12435.5</v>
      </c>
      <c r="E21" s="37">
        <f t="shared" si="0"/>
        <v>24871</v>
      </c>
      <c r="F21" s="38"/>
    </row>
    <row r="22" spans="1:6" ht="15.75" customHeight="1" x14ac:dyDescent="0.2">
      <c r="A22" s="40" t="s">
        <v>63</v>
      </c>
      <c r="B22" s="34" t="s">
        <v>64</v>
      </c>
      <c r="C22" s="35">
        <v>1</v>
      </c>
      <c r="D22" s="36">
        <f>COTIZACIONES!CQ40</f>
        <v>4782.3125</v>
      </c>
      <c r="E22" s="37">
        <f t="shared" si="0"/>
        <v>4782.3125</v>
      </c>
      <c r="F22" s="38"/>
    </row>
    <row r="23" spans="1:6" ht="15.75" customHeight="1" x14ac:dyDescent="0.2">
      <c r="A23" s="40" t="s">
        <v>65</v>
      </c>
      <c r="B23" s="34" t="s">
        <v>64</v>
      </c>
      <c r="C23" s="35">
        <v>1</v>
      </c>
      <c r="D23" s="36">
        <f>COTIZACIONES!CQ41</f>
        <v>5079.8125</v>
      </c>
      <c r="E23" s="37">
        <f t="shared" si="0"/>
        <v>5079.8125</v>
      </c>
      <c r="F23" s="38"/>
    </row>
    <row r="24" spans="1:6" ht="15.75" customHeight="1" x14ac:dyDescent="0.2">
      <c r="A24" s="40" t="s">
        <v>66</v>
      </c>
      <c r="B24" s="34" t="s">
        <v>64</v>
      </c>
      <c r="C24" s="35">
        <v>1</v>
      </c>
      <c r="D24" s="36">
        <f>COTIZACIONES!CQ42</f>
        <v>5823.5625</v>
      </c>
      <c r="E24" s="37">
        <f t="shared" si="0"/>
        <v>5823.5625</v>
      </c>
      <c r="F24" s="38"/>
    </row>
    <row r="25" spans="1:6" ht="15.75" customHeight="1" x14ac:dyDescent="0.2">
      <c r="A25" s="33" t="s">
        <v>67</v>
      </c>
      <c r="B25" s="34" t="s">
        <v>64</v>
      </c>
      <c r="C25" s="35">
        <v>4</v>
      </c>
      <c r="D25" s="36">
        <f>COTIZACIONES!CQ43</f>
        <v>8597.75</v>
      </c>
      <c r="E25" s="37">
        <f t="shared" si="0"/>
        <v>34391</v>
      </c>
      <c r="F25" s="38"/>
    </row>
    <row r="26" spans="1:6" ht="15.75" customHeight="1" x14ac:dyDescent="0.2">
      <c r="A26" s="40" t="s">
        <v>68</v>
      </c>
      <c r="B26" s="34" t="s">
        <v>69</v>
      </c>
      <c r="C26" s="35">
        <v>1</v>
      </c>
      <c r="D26" s="36">
        <f>COTIZACIONES!CQ44</f>
        <v>20780.375</v>
      </c>
      <c r="E26" s="37">
        <f t="shared" si="0"/>
        <v>20780.375</v>
      </c>
      <c r="F26" s="38"/>
    </row>
    <row r="27" spans="1:6" ht="15.75" customHeight="1" x14ac:dyDescent="0.2">
      <c r="A27" s="33" t="s">
        <v>70</v>
      </c>
      <c r="B27" s="34" t="s">
        <v>62</v>
      </c>
      <c r="C27" s="35">
        <v>1</v>
      </c>
      <c r="D27" s="36">
        <f>COTIZACIONES!CQ45</f>
        <v>64408.75</v>
      </c>
      <c r="E27" s="37">
        <f t="shared" si="0"/>
        <v>64408.75</v>
      </c>
      <c r="F27" s="38"/>
    </row>
    <row r="28" spans="1:6" ht="15.75" customHeight="1" x14ac:dyDescent="0.2">
      <c r="A28" s="99" t="s">
        <v>166</v>
      </c>
      <c r="B28" s="99"/>
      <c r="C28" s="99"/>
      <c r="D28" s="99"/>
      <c r="E28" s="100">
        <f>SUM(E3:E27)</f>
        <v>1203000.5751999998</v>
      </c>
      <c r="F28" s="38"/>
    </row>
    <row r="29" spans="1:6" ht="15.75" customHeight="1" x14ac:dyDescent="0.2">
      <c r="A29" s="88" t="s">
        <v>155</v>
      </c>
      <c r="B29" s="89"/>
      <c r="C29" s="89"/>
      <c r="D29" s="90"/>
      <c r="E29" s="91"/>
    </row>
    <row r="30" spans="1:6" ht="15.75" customHeight="1" x14ac:dyDescent="0.2">
      <c r="A30" s="29" t="s">
        <v>156</v>
      </c>
      <c r="B30" s="26" t="s">
        <v>157</v>
      </c>
      <c r="C30" s="26">
        <v>1</v>
      </c>
      <c r="D30" s="17">
        <f>E28*0.2</f>
        <v>240600.11503999998</v>
      </c>
      <c r="E30" s="18">
        <f>C30*D30</f>
        <v>240600.11503999998</v>
      </c>
      <c r="F30" s="38"/>
    </row>
    <row r="31" spans="1:6" ht="15.75" customHeight="1" x14ac:dyDescent="0.2">
      <c r="F31" s="38"/>
    </row>
    <row r="32" spans="1:6" ht="15.75" customHeight="1" x14ac:dyDescent="0.2">
      <c r="A32" s="272" t="s">
        <v>162</v>
      </c>
      <c r="B32" s="273"/>
      <c r="C32" s="273"/>
      <c r="D32" s="274"/>
      <c r="E32" s="96">
        <f>E30+E28</f>
        <v>1443600.6902399999</v>
      </c>
    </row>
    <row r="33" spans="1:5" ht="15.75" customHeight="1" x14ac:dyDescent="0.2">
      <c r="A33" s="272" t="s">
        <v>163</v>
      </c>
      <c r="B33" s="273"/>
      <c r="C33" s="273"/>
      <c r="D33" s="274"/>
      <c r="E33" s="97">
        <f>E32*80</f>
        <v>115488055.21919999</v>
      </c>
    </row>
    <row r="34" spans="1:5" ht="15.75" customHeight="1" x14ac:dyDescent="0.2"/>
    <row r="35" spans="1:5" ht="15.75" customHeight="1" x14ac:dyDescent="0.2"/>
    <row r="36" spans="1:5" ht="15.75" customHeight="1" x14ac:dyDescent="0.2"/>
    <row r="37" spans="1:5" ht="15.75" customHeight="1" x14ac:dyDescent="0.2"/>
    <row r="38" spans="1:5" ht="15.75" customHeight="1" x14ac:dyDescent="0.2"/>
    <row r="39" spans="1:5" ht="15.75" customHeight="1" x14ac:dyDescent="0.2"/>
    <row r="40" spans="1:5" ht="15.75" customHeight="1" x14ac:dyDescent="0.2"/>
    <row r="41" spans="1:5" ht="15.75" customHeight="1" x14ac:dyDescent="0.2"/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F1"/>
    <mergeCell ref="A32:D32"/>
    <mergeCell ref="A33:D33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workbookViewId="0">
      <selection activeCell="H23" sqref="H23"/>
    </sheetView>
  </sheetViews>
  <sheetFormatPr baseColWidth="10" defaultColWidth="12.6640625" defaultRowHeight="15" customHeight="1" x14ac:dyDescent="0.2"/>
  <cols>
    <col min="1" max="1" width="48.6640625" customWidth="1"/>
    <col min="2" max="4" width="10.6640625" customWidth="1"/>
    <col min="5" max="5" width="13" customWidth="1"/>
    <col min="6" max="6" width="24" customWidth="1"/>
    <col min="7" max="26" width="10.6640625" customWidth="1"/>
  </cols>
  <sheetData>
    <row r="1" spans="1:6" x14ac:dyDescent="0.2">
      <c r="A1" s="286" t="s">
        <v>71</v>
      </c>
      <c r="B1" s="273"/>
      <c r="C1" s="273"/>
      <c r="D1" s="273"/>
      <c r="E1" s="273"/>
      <c r="F1" s="274"/>
    </row>
    <row r="2" spans="1:6" x14ac:dyDescent="0.2">
      <c r="A2" s="295" t="s">
        <v>12</v>
      </c>
      <c r="B2" s="287" t="s">
        <v>13</v>
      </c>
      <c r="C2" s="288" t="s">
        <v>148</v>
      </c>
      <c r="D2" s="289" t="s">
        <v>16</v>
      </c>
      <c r="E2" s="270" t="s">
        <v>149</v>
      </c>
      <c r="F2" s="290" t="s">
        <v>19</v>
      </c>
    </row>
    <row r="3" spans="1:6" x14ac:dyDescent="0.2">
      <c r="A3" s="296"/>
      <c r="B3" s="284"/>
      <c r="C3" s="284"/>
      <c r="D3" s="284"/>
      <c r="E3" s="284"/>
      <c r="F3" s="284"/>
    </row>
    <row r="4" spans="1:6" x14ac:dyDescent="0.2">
      <c r="A4" s="272" t="s">
        <v>170</v>
      </c>
      <c r="B4" s="273"/>
      <c r="C4" s="273"/>
      <c r="D4" s="273"/>
      <c r="E4" s="273"/>
      <c r="F4" s="274"/>
    </row>
    <row r="5" spans="1:6" x14ac:dyDescent="0.2">
      <c r="A5" s="84" t="s">
        <v>171</v>
      </c>
      <c r="B5" s="85"/>
      <c r="C5" s="85"/>
      <c r="D5" s="85"/>
      <c r="E5" s="85"/>
      <c r="F5" s="86"/>
    </row>
    <row r="6" spans="1:6" x14ac:dyDescent="0.2">
      <c r="A6" s="42" t="s">
        <v>272</v>
      </c>
      <c r="B6" s="15" t="s">
        <v>23</v>
      </c>
      <c r="C6" s="22">
        <v>25</v>
      </c>
      <c r="D6" s="23">
        <f>COTIZACIONES!CQ47</f>
        <v>3581.25</v>
      </c>
      <c r="E6" s="24">
        <f t="shared" ref="E6:E7" si="0">D6*C6</f>
        <v>89531.25</v>
      </c>
      <c r="F6" s="19"/>
    </row>
    <row r="7" spans="1:6" x14ac:dyDescent="0.2">
      <c r="A7" s="42" t="s">
        <v>263</v>
      </c>
      <c r="B7" s="15" t="s">
        <v>23</v>
      </c>
      <c r="C7" s="22">
        <v>3</v>
      </c>
      <c r="D7" s="23">
        <f>COTIZACIONES!CQ48</f>
        <v>9112.5</v>
      </c>
      <c r="E7" s="24">
        <f t="shared" si="0"/>
        <v>27337.5</v>
      </c>
      <c r="F7" s="19"/>
    </row>
    <row r="8" spans="1:6" x14ac:dyDescent="0.2">
      <c r="A8" s="297" t="s">
        <v>169</v>
      </c>
      <c r="B8" s="273"/>
      <c r="C8" s="273"/>
      <c r="D8" s="274"/>
      <c r="E8" s="24">
        <f>E6+E7</f>
        <v>116868.75</v>
      </c>
      <c r="F8" s="19"/>
    </row>
    <row r="9" spans="1:6" x14ac:dyDescent="0.2">
      <c r="A9" s="101" t="s">
        <v>172</v>
      </c>
      <c r="B9" s="102"/>
      <c r="C9" s="102"/>
      <c r="D9" s="103"/>
      <c r="E9" s="104"/>
      <c r="F9" s="105"/>
    </row>
    <row r="10" spans="1:6" x14ac:dyDescent="0.2">
      <c r="A10" s="29" t="s">
        <v>173</v>
      </c>
      <c r="B10" s="26" t="s">
        <v>157</v>
      </c>
      <c r="C10" s="26">
        <v>1</v>
      </c>
      <c r="D10" s="17">
        <f>E8*0.2</f>
        <v>23373.75</v>
      </c>
      <c r="E10" s="18">
        <f>D10*C10</f>
        <v>23373.75</v>
      </c>
      <c r="F10" s="43"/>
    </row>
    <row r="11" spans="1:6" ht="32" x14ac:dyDescent="0.2">
      <c r="A11" s="294" t="s">
        <v>174</v>
      </c>
      <c r="B11" s="273"/>
      <c r="C11" s="273"/>
      <c r="D11" s="274"/>
      <c r="E11" s="106">
        <f>E8+E10</f>
        <v>140242.5</v>
      </c>
      <c r="F11" s="43" t="s">
        <v>265</v>
      </c>
    </row>
    <row r="13" spans="1:6" x14ac:dyDescent="0.2">
      <c r="A13" s="272" t="s">
        <v>175</v>
      </c>
      <c r="B13" s="273"/>
      <c r="C13" s="273"/>
      <c r="D13" s="273"/>
      <c r="E13" s="273"/>
      <c r="F13" s="274"/>
    </row>
    <row r="14" spans="1:6" x14ac:dyDescent="0.2">
      <c r="A14" s="84" t="s">
        <v>171</v>
      </c>
      <c r="B14" s="85"/>
      <c r="C14" s="85"/>
      <c r="D14" s="85"/>
      <c r="E14" s="85"/>
      <c r="F14" s="86"/>
    </row>
    <row r="15" spans="1:6" x14ac:dyDescent="0.2">
      <c r="A15" s="42" t="s">
        <v>272</v>
      </c>
      <c r="B15" s="15" t="s">
        <v>23</v>
      </c>
      <c r="C15" s="22">
        <v>25</v>
      </c>
      <c r="D15" s="23">
        <f>COTIZACIONES!CQ49</f>
        <v>3581.25</v>
      </c>
      <c r="E15" s="24">
        <f t="shared" ref="E15:E16" si="1">D15*C15</f>
        <v>89531.25</v>
      </c>
      <c r="F15" s="19"/>
    </row>
    <row r="16" spans="1:6" x14ac:dyDescent="0.2">
      <c r="A16" s="42" t="s">
        <v>263</v>
      </c>
      <c r="B16" s="15" t="s">
        <v>23</v>
      </c>
      <c r="C16" s="22">
        <v>2</v>
      </c>
      <c r="D16" s="23">
        <f>COTIZACIONES!CQ50</f>
        <v>9112.5</v>
      </c>
      <c r="E16" s="24">
        <f t="shared" si="1"/>
        <v>18225</v>
      </c>
      <c r="F16" s="19"/>
    </row>
    <row r="17" spans="1:6" x14ac:dyDescent="0.2">
      <c r="A17" s="297" t="s">
        <v>169</v>
      </c>
      <c r="B17" s="273"/>
      <c r="C17" s="273"/>
      <c r="D17" s="274"/>
      <c r="E17" s="24">
        <f>E15+E16</f>
        <v>107756.25</v>
      </c>
      <c r="F17" s="19"/>
    </row>
    <row r="18" spans="1:6" x14ac:dyDescent="0.2">
      <c r="A18" s="101" t="s">
        <v>172</v>
      </c>
      <c r="B18" s="102"/>
      <c r="C18" s="102"/>
      <c r="D18" s="103"/>
      <c r="E18" s="104"/>
      <c r="F18" s="105"/>
    </row>
    <row r="19" spans="1:6" x14ac:dyDescent="0.2">
      <c r="A19" s="29" t="s">
        <v>156</v>
      </c>
      <c r="B19" s="26" t="s">
        <v>157</v>
      </c>
      <c r="C19" s="26">
        <v>1</v>
      </c>
      <c r="D19" s="17">
        <f>SUM(E15:E16)*0.2</f>
        <v>21551.25</v>
      </c>
      <c r="E19" s="18">
        <f>D19*C19</f>
        <v>21551.25</v>
      </c>
      <c r="F19" s="43"/>
    </row>
    <row r="20" spans="1:6" ht="32" x14ac:dyDescent="0.2">
      <c r="A20" s="294" t="s">
        <v>176</v>
      </c>
      <c r="B20" s="273"/>
      <c r="C20" s="273"/>
      <c r="D20" s="274"/>
      <c r="E20" s="18">
        <f>E17+E19</f>
        <v>129307.5</v>
      </c>
      <c r="F20" s="107" t="s">
        <v>264</v>
      </c>
    </row>
    <row r="21" spans="1:6" ht="15.75" customHeight="1" x14ac:dyDescent="0.2"/>
    <row r="22" spans="1:6" ht="15.75" customHeight="1" x14ac:dyDescent="0.2"/>
    <row r="23" spans="1:6" ht="15.75" customHeight="1" x14ac:dyDescent="0.2">
      <c r="A23" s="272" t="s">
        <v>212</v>
      </c>
      <c r="B23" s="273"/>
      <c r="C23" s="273"/>
      <c r="D23" s="274"/>
      <c r="E23" s="96">
        <f>E20+E11</f>
        <v>269550</v>
      </c>
      <c r="F23" s="38"/>
    </row>
    <row r="24" spans="1:6" ht="15.75" customHeight="1" x14ac:dyDescent="0.2">
      <c r="A24" s="272" t="s">
        <v>213</v>
      </c>
      <c r="B24" s="273"/>
      <c r="C24" s="273"/>
      <c r="D24" s="274"/>
      <c r="E24" s="97">
        <f>E23*80</f>
        <v>21564000</v>
      </c>
      <c r="F24" s="38"/>
    </row>
    <row r="25" spans="1:6" ht="15.75" customHeight="1" x14ac:dyDescent="0.2"/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">
    <mergeCell ref="A20:D20"/>
    <mergeCell ref="A23:D23"/>
    <mergeCell ref="A24:D24"/>
    <mergeCell ref="A1:F1"/>
    <mergeCell ref="A2:A3"/>
    <mergeCell ref="B2:B3"/>
    <mergeCell ref="C2:C3"/>
    <mergeCell ref="D2:D3"/>
    <mergeCell ref="E2:E3"/>
    <mergeCell ref="F2:F3"/>
    <mergeCell ref="A4:F4"/>
    <mergeCell ref="A8:D8"/>
    <mergeCell ref="A11:D11"/>
    <mergeCell ref="A13:F13"/>
    <mergeCell ref="A17:D1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workbookViewId="0">
      <selection sqref="A1:F1"/>
    </sheetView>
  </sheetViews>
  <sheetFormatPr baseColWidth="10" defaultColWidth="12.6640625" defaultRowHeight="15" customHeight="1" x14ac:dyDescent="0.2"/>
  <cols>
    <col min="1" max="1" width="48.6640625" customWidth="1"/>
    <col min="2" max="3" width="10.6640625" customWidth="1"/>
    <col min="4" max="4" width="13" customWidth="1"/>
    <col min="5" max="5" width="15.6640625" customWidth="1"/>
    <col min="6" max="6" width="22.6640625" customWidth="1"/>
    <col min="7" max="25" width="10.6640625" customWidth="1"/>
  </cols>
  <sheetData>
    <row r="1" spans="1:6" x14ac:dyDescent="0.2">
      <c r="A1" s="272" t="s">
        <v>76</v>
      </c>
      <c r="B1" s="273"/>
      <c r="C1" s="273"/>
      <c r="D1" s="273"/>
      <c r="E1" s="273"/>
      <c r="F1" s="274"/>
    </row>
    <row r="2" spans="1:6" x14ac:dyDescent="0.2">
      <c r="A2" s="295" t="s">
        <v>12</v>
      </c>
      <c r="B2" s="287" t="s">
        <v>13</v>
      </c>
      <c r="C2" s="288" t="s">
        <v>164</v>
      </c>
      <c r="D2" s="289" t="s">
        <v>16</v>
      </c>
      <c r="E2" s="270" t="s">
        <v>167</v>
      </c>
      <c r="F2" s="290" t="s">
        <v>19</v>
      </c>
    </row>
    <row r="3" spans="1:6" x14ac:dyDescent="0.2">
      <c r="A3" s="300"/>
      <c r="B3" s="298"/>
      <c r="C3" s="298"/>
      <c r="D3" s="298"/>
      <c r="E3" s="298"/>
      <c r="F3" s="298"/>
    </row>
    <row r="4" spans="1:6" x14ac:dyDescent="0.2">
      <c r="A4" s="301" t="s">
        <v>168</v>
      </c>
      <c r="B4" s="273"/>
      <c r="C4" s="273"/>
      <c r="D4" s="273"/>
      <c r="E4" s="273"/>
      <c r="F4" s="274"/>
    </row>
    <row r="5" spans="1:6" ht="16" x14ac:dyDescent="0.2">
      <c r="A5" s="46" t="s">
        <v>77</v>
      </c>
      <c r="B5" s="47" t="s">
        <v>78</v>
      </c>
      <c r="C5" s="47">
        <v>48</v>
      </c>
      <c r="D5" s="20">
        <f ca="1">COTIZACIONES!CQ52</f>
        <v>285.60000000000002</v>
      </c>
      <c r="E5" s="20">
        <f ca="1">D5*C5</f>
        <v>13708.800000000001</v>
      </c>
      <c r="F5" s="48"/>
    </row>
    <row r="6" spans="1:6" ht="16" x14ac:dyDescent="0.2">
      <c r="A6" s="46" t="s">
        <v>79</v>
      </c>
      <c r="B6" s="47" t="s">
        <v>78</v>
      </c>
      <c r="C6" s="47">
        <v>3</v>
      </c>
      <c r="D6" s="20">
        <f ca="1">COTIZACIONES!CQ53</f>
        <v>35105</v>
      </c>
      <c r="E6" s="20">
        <f t="shared" ref="E6:E23" ca="1" si="0">D6*C6</f>
        <v>105315</v>
      </c>
      <c r="F6" s="48"/>
    </row>
    <row r="7" spans="1:6" ht="16" x14ac:dyDescent="0.2">
      <c r="A7" s="46" t="s">
        <v>80</v>
      </c>
      <c r="B7" s="47" t="s">
        <v>81</v>
      </c>
      <c r="C7" s="47">
        <v>3</v>
      </c>
      <c r="D7" s="20">
        <f ca="1">COTIZACIONES!CQ54</f>
        <v>6425.75</v>
      </c>
      <c r="E7" s="20">
        <f t="shared" ca="1" si="0"/>
        <v>19277.25</v>
      </c>
      <c r="F7" s="48"/>
    </row>
    <row r="8" spans="1:6" ht="16" x14ac:dyDescent="0.2">
      <c r="A8" s="46" t="s">
        <v>82</v>
      </c>
      <c r="B8" s="47" t="s">
        <v>81</v>
      </c>
      <c r="C8" s="47">
        <v>2</v>
      </c>
      <c r="D8" s="20">
        <f ca="1">COTIZACIONES!CQ55</f>
        <v>6425.75</v>
      </c>
      <c r="E8" s="20">
        <f t="shared" ca="1" si="0"/>
        <v>12851.5</v>
      </c>
      <c r="F8" s="48"/>
    </row>
    <row r="9" spans="1:6" ht="16" x14ac:dyDescent="0.2">
      <c r="A9" s="46" t="s">
        <v>83</v>
      </c>
      <c r="B9" s="47" t="s">
        <v>84</v>
      </c>
      <c r="C9" s="47">
        <v>0.4</v>
      </c>
      <c r="D9" s="20">
        <f ca="1">COTIZACIONES!CQ56</f>
        <v>237762</v>
      </c>
      <c r="E9" s="20">
        <f t="shared" ca="1" si="0"/>
        <v>95104.8</v>
      </c>
      <c r="F9" s="48"/>
    </row>
    <row r="10" spans="1:6" ht="16" x14ac:dyDescent="0.2">
      <c r="A10" s="46" t="s">
        <v>85</v>
      </c>
      <c r="B10" s="47" t="s">
        <v>78</v>
      </c>
      <c r="C10" s="47">
        <v>8</v>
      </c>
      <c r="D10" s="20">
        <f ca="1">COTIZACIONES!CQ57</f>
        <v>49563.1</v>
      </c>
      <c r="E10" s="20">
        <f t="shared" ca="1" si="0"/>
        <v>396504.8</v>
      </c>
      <c r="F10" s="48"/>
    </row>
    <row r="11" spans="1:6" ht="16" x14ac:dyDescent="0.2">
      <c r="A11" s="46" t="s">
        <v>86</v>
      </c>
      <c r="B11" s="47" t="s">
        <v>78</v>
      </c>
      <c r="C11" s="47">
        <v>4</v>
      </c>
      <c r="D11" s="20">
        <f ca="1">COTIZACIONES!CQ58</f>
        <v>77190.5</v>
      </c>
      <c r="E11" s="20">
        <f t="shared" ca="1" si="0"/>
        <v>308762</v>
      </c>
      <c r="F11" s="48"/>
    </row>
    <row r="12" spans="1:6" ht="16" x14ac:dyDescent="0.2">
      <c r="A12" s="46" t="s">
        <v>87</v>
      </c>
      <c r="B12" s="47" t="s">
        <v>78</v>
      </c>
      <c r="C12" s="47">
        <v>1</v>
      </c>
      <c r="D12" s="20">
        <f ca="1">COTIZACIONES!CQ59</f>
        <v>71376.2</v>
      </c>
      <c r="E12" s="20">
        <f t="shared" ca="1" si="0"/>
        <v>71376.2</v>
      </c>
      <c r="F12" s="48"/>
    </row>
    <row r="13" spans="1:6" ht="32" x14ac:dyDescent="0.2">
      <c r="A13" s="46" t="s">
        <v>88</v>
      </c>
      <c r="B13" s="47" t="s">
        <v>84</v>
      </c>
      <c r="C13" s="47">
        <v>0.4</v>
      </c>
      <c r="D13" s="20">
        <f ca="1">COTIZACIONES!CQ60</f>
        <v>267750</v>
      </c>
      <c r="E13" s="20">
        <f t="shared" ca="1" si="0"/>
        <v>107100</v>
      </c>
      <c r="F13" s="48"/>
    </row>
    <row r="14" spans="1:6" ht="16" x14ac:dyDescent="0.2">
      <c r="A14" s="46" t="s">
        <v>89</v>
      </c>
      <c r="B14" s="47" t="s">
        <v>78</v>
      </c>
      <c r="C14" s="47">
        <v>24</v>
      </c>
      <c r="D14" s="20">
        <f ca="1">COTIZACIONES!CQ61</f>
        <v>36788.1</v>
      </c>
      <c r="E14" s="20">
        <f t="shared" ca="1" si="0"/>
        <v>882914.39999999991</v>
      </c>
      <c r="F14" s="46" t="s">
        <v>90</v>
      </c>
    </row>
    <row r="15" spans="1:6" ht="16" x14ac:dyDescent="0.2">
      <c r="A15" s="46" t="s">
        <v>91</v>
      </c>
      <c r="B15" s="47" t="s">
        <v>78</v>
      </c>
      <c r="C15" s="47">
        <v>4</v>
      </c>
      <c r="D15" s="20">
        <f ca="1">COTIZACIONES!CQ62</f>
        <v>44057.5</v>
      </c>
      <c r="E15" s="20">
        <f t="shared" ca="1" si="0"/>
        <v>176230</v>
      </c>
      <c r="F15" s="46" t="s">
        <v>90</v>
      </c>
    </row>
    <row r="16" spans="1:6" ht="16" x14ac:dyDescent="0.2">
      <c r="A16" s="46" t="s">
        <v>92</v>
      </c>
      <c r="B16" s="47" t="s">
        <v>78</v>
      </c>
      <c r="C16" s="47">
        <v>4</v>
      </c>
      <c r="D16" s="20">
        <f ca="1">COTIZACIONES!CQ63</f>
        <v>64360.75</v>
      </c>
      <c r="E16" s="20">
        <f t="shared" ca="1" si="0"/>
        <v>257443</v>
      </c>
      <c r="F16" s="46" t="s">
        <v>90</v>
      </c>
    </row>
    <row r="17" spans="1:6" ht="16" x14ac:dyDescent="0.2">
      <c r="A17" s="46" t="s">
        <v>93</v>
      </c>
      <c r="B17" s="47" t="s">
        <v>78</v>
      </c>
      <c r="C17" s="47">
        <v>1</v>
      </c>
      <c r="D17" s="20">
        <f ca="1">COTIZACIONES!CQ64</f>
        <v>11305</v>
      </c>
      <c r="E17" s="20">
        <f t="shared" ca="1" si="0"/>
        <v>11305</v>
      </c>
      <c r="F17" s="48"/>
    </row>
    <row r="18" spans="1:6" ht="16" x14ac:dyDescent="0.2">
      <c r="A18" s="46" t="s">
        <v>94</v>
      </c>
      <c r="B18" s="47" t="s">
        <v>78</v>
      </c>
      <c r="C18" s="47">
        <v>1</v>
      </c>
      <c r="D18" s="20">
        <f ca="1">COTIZACIONES!CQ65</f>
        <v>172490.5</v>
      </c>
      <c r="E18" s="20">
        <f t="shared" ca="1" si="0"/>
        <v>172490.5</v>
      </c>
      <c r="F18" s="48"/>
    </row>
    <row r="19" spans="1:6" ht="32" x14ac:dyDescent="0.2">
      <c r="A19" s="46" t="s">
        <v>95</v>
      </c>
      <c r="B19" s="47" t="s">
        <v>78</v>
      </c>
      <c r="C19" s="47">
        <v>5</v>
      </c>
      <c r="D19" s="20">
        <f ca="1">COTIZACIONES!CQ66</f>
        <v>101150</v>
      </c>
      <c r="E19" s="20">
        <f t="shared" ca="1" si="0"/>
        <v>505750</v>
      </c>
      <c r="F19" s="48"/>
    </row>
    <row r="20" spans="1:6" ht="16" x14ac:dyDescent="0.2">
      <c r="A20" s="46" t="s">
        <v>96</v>
      </c>
      <c r="B20" s="47" t="s">
        <v>78</v>
      </c>
      <c r="C20" s="47">
        <v>5</v>
      </c>
      <c r="D20" s="20">
        <f ca="1">COTIZACIONES!CQ67</f>
        <v>54680.5</v>
      </c>
      <c r="E20" s="20">
        <f t="shared" ca="1" si="0"/>
        <v>273402.5</v>
      </c>
      <c r="F20" s="48"/>
    </row>
    <row r="21" spans="1:6" ht="15.75" customHeight="1" x14ac:dyDescent="0.2">
      <c r="A21" s="46" t="s">
        <v>97</v>
      </c>
      <c r="B21" s="47" t="s">
        <v>78</v>
      </c>
      <c r="C21" s="47">
        <v>0.5</v>
      </c>
      <c r="D21" s="20">
        <f ca="1">COTIZACIONES!CQ68</f>
        <v>54680.5</v>
      </c>
      <c r="E21" s="20">
        <f t="shared" ca="1" si="0"/>
        <v>27340.25</v>
      </c>
      <c r="F21" s="48"/>
    </row>
    <row r="22" spans="1:6" ht="15.75" customHeight="1" x14ac:dyDescent="0.2">
      <c r="A22" s="46" t="s">
        <v>98</v>
      </c>
      <c r="B22" s="47" t="s">
        <v>78</v>
      </c>
      <c r="C22" s="47">
        <v>1</v>
      </c>
      <c r="D22" s="20">
        <f ca="1">COTIZACIONES!CQ69</f>
        <v>2011.1</v>
      </c>
      <c r="E22" s="20">
        <f t="shared" ca="1" si="0"/>
        <v>2011.1</v>
      </c>
      <c r="F22" s="48"/>
    </row>
    <row r="23" spans="1:6" ht="15.75" customHeight="1" x14ac:dyDescent="0.2">
      <c r="A23" s="46" t="s">
        <v>99</v>
      </c>
      <c r="B23" s="47" t="s">
        <v>78</v>
      </c>
      <c r="C23" s="47">
        <v>0.5</v>
      </c>
      <c r="D23" s="20">
        <f ca="1">COTIZACIONES!CQ70</f>
        <v>5950</v>
      </c>
      <c r="E23" s="20">
        <f t="shared" ca="1" si="0"/>
        <v>2975</v>
      </c>
      <c r="F23" s="48"/>
    </row>
    <row r="24" spans="1:6" ht="15.75" customHeight="1" x14ac:dyDescent="0.2">
      <c r="A24" s="299" t="s">
        <v>169</v>
      </c>
      <c r="B24" s="273"/>
      <c r="C24" s="273"/>
      <c r="D24" s="274"/>
      <c r="E24" s="20">
        <f ca="1">SUM(E5:E23)</f>
        <v>3441862.1</v>
      </c>
      <c r="F24" s="48"/>
    </row>
    <row r="25" spans="1:6" ht="15.75" customHeight="1" x14ac:dyDescent="0.2">
      <c r="A25" s="101" t="s">
        <v>155</v>
      </c>
      <c r="B25" s="102"/>
      <c r="C25" s="102"/>
      <c r="D25" s="20"/>
      <c r="E25" s="20"/>
      <c r="F25" s="48"/>
    </row>
    <row r="26" spans="1:6" ht="15.75" customHeight="1" x14ac:dyDescent="0.2">
      <c r="A26" s="29" t="s">
        <v>156</v>
      </c>
      <c r="B26" s="26" t="s">
        <v>157</v>
      </c>
      <c r="C26" s="26">
        <v>1</v>
      </c>
      <c r="D26" s="20">
        <f ca="1">E24*0.2</f>
        <v>688372.42</v>
      </c>
      <c r="E26" s="20">
        <f ca="1">D26</f>
        <v>688372.42</v>
      </c>
      <c r="F26" s="48"/>
    </row>
    <row r="27" spans="1:6" ht="15.75" customHeight="1" x14ac:dyDescent="0.2">
      <c r="A27" s="68"/>
    </row>
    <row r="28" spans="1:6" ht="15.75" customHeight="1" x14ac:dyDescent="0.2">
      <c r="A28" s="272" t="s">
        <v>162</v>
      </c>
      <c r="B28" s="273"/>
      <c r="C28" s="273"/>
      <c r="D28" s="274"/>
      <c r="E28" s="96">
        <f ca="1">E24+E26</f>
        <v>4130234.52</v>
      </c>
      <c r="F28" s="38"/>
    </row>
    <row r="29" spans="1:6" ht="15.75" customHeight="1" x14ac:dyDescent="0.2">
      <c r="A29" s="272" t="s">
        <v>163</v>
      </c>
      <c r="B29" s="273"/>
      <c r="C29" s="273"/>
      <c r="D29" s="274"/>
      <c r="E29" s="97">
        <f ca="1">E28*80</f>
        <v>330418761.60000002</v>
      </c>
      <c r="F29" s="38"/>
    </row>
    <row r="30" spans="1:6" ht="15.75" customHeight="1" x14ac:dyDescent="0.2">
      <c r="A30" s="68"/>
    </row>
    <row r="31" spans="1:6" ht="15.75" customHeight="1" x14ac:dyDescent="0.2">
      <c r="A31" s="68"/>
    </row>
    <row r="32" spans="1:6" ht="15.75" customHeight="1" x14ac:dyDescent="0.2">
      <c r="A32" s="68"/>
    </row>
    <row r="33" spans="1:1" ht="15.75" customHeight="1" x14ac:dyDescent="0.2">
      <c r="A33" s="68"/>
    </row>
    <row r="34" spans="1:1" ht="15.75" customHeight="1" x14ac:dyDescent="0.2">
      <c r="A34" s="68"/>
    </row>
    <row r="35" spans="1:1" ht="15.75" customHeight="1" x14ac:dyDescent="0.2">
      <c r="A35" s="68"/>
    </row>
    <row r="36" spans="1:1" ht="15.75" customHeight="1" x14ac:dyDescent="0.2">
      <c r="A36" s="68"/>
    </row>
    <row r="37" spans="1:1" ht="15.75" customHeight="1" x14ac:dyDescent="0.2">
      <c r="A37" s="68"/>
    </row>
    <row r="38" spans="1:1" ht="15.75" customHeight="1" x14ac:dyDescent="0.2">
      <c r="A38" s="68"/>
    </row>
    <row r="39" spans="1:1" ht="15.75" customHeight="1" x14ac:dyDescent="0.2">
      <c r="A39" s="68"/>
    </row>
    <row r="40" spans="1:1" ht="15.75" customHeight="1" x14ac:dyDescent="0.2">
      <c r="A40" s="68"/>
    </row>
    <row r="41" spans="1:1" ht="15.75" customHeight="1" x14ac:dyDescent="0.2">
      <c r="A41" s="68"/>
    </row>
    <row r="42" spans="1:1" ht="15.75" customHeight="1" x14ac:dyDescent="0.2">
      <c r="A42" s="68"/>
    </row>
    <row r="43" spans="1:1" ht="15.75" customHeight="1" x14ac:dyDescent="0.2">
      <c r="A43" s="68"/>
    </row>
    <row r="44" spans="1:1" ht="15.75" customHeight="1" x14ac:dyDescent="0.2">
      <c r="A44" s="68"/>
    </row>
    <row r="45" spans="1:1" ht="15.75" customHeight="1" x14ac:dyDescent="0.2">
      <c r="A45" s="68"/>
    </row>
    <row r="46" spans="1:1" ht="15.75" customHeight="1" x14ac:dyDescent="0.2">
      <c r="A46" s="68"/>
    </row>
    <row r="47" spans="1:1" ht="15.75" customHeight="1" x14ac:dyDescent="0.2">
      <c r="A47" s="68"/>
    </row>
    <row r="48" spans="1:1" ht="15.75" customHeight="1" x14ac:dyDescent="0.2">
      <c r="A48" s="68"/>
    </row>
    <row r="49" spans="1:1" ht="15.75" customHeight="1" x14ac:dyDescent="0.2">
      <c r="A49" s="68"/>
    </row>
    <row r="50" spans="1:1" ht="15.75" customHeight="1" x14ac:dyDescent="0.2">
      <c r="A50" s="68"/>
    </row>
    <row r="51" spans="1:1" ht="15.75" customHeight="1" x14ac:dyDescent="0.2">
      <c r="A51" s="68"/>
    </row>
    <row r="52" spans="1:1" ht="15.75" customHeight="1" x14ac:dyDescent="0.2">
      <c r="A52" s="68"/>
    </row>
    <row r="53" spans="1:1" ht="15.75" customHeight="1" x14ac:dyDescent="0.2">
      <c r="A53" s="68"/>
    </row>
    <row r="54" spans="1:1" ht="15.75" customHeight="1" x14ac:dyDescent="0.2">
      <c r="A54" s="68"/>
    </row>
    <row r="55" spans="1:1" ht="15.75" customHeight="1" x14ac:dyDescent="0.2">
      <c r="A55" s="68"/>
    </row>
    <row r="56" spans="1:1" ht="15.75" customHeight="1" x14ac:dyDescent="0.2">
      <c r="A56" s="68"/>
    </row>
    <row r="57" spans="1:1" ht="15.75" customHeight="1" x14ac:dyDescent="0.2">
      <c r="A57" s="68"/>
    </row>
    <row r="58" spans="1:1" ht="15.75" customHeight="1" x14ac:dyDescent="0.2">
      <c r="A58" s="68"/>
    </row>
    <row r="59" spans="1:1" ht="15.75" customHeight="1" x14ac:dyDescent="0.2">
      <c r="A59" s="68"/>
    </row>
    <row r="60" spans="1:1" ht="15.75" customHeight="1" x14ac:dyDescent="0.2">
      <c r="A60" s="68"/>
    </row>
    <row r="61" spans="1:1" ht="15.75" customHeight="1" x14ac:dyDescent="0.2">
      <c r="A61" s="68"/>
    </row>
    <row r="62" spans="1:1" ht="15.75" customHeight="1" x14ac:dyDescent="0.2">
      <c r="A62" s="68"/>
    </row>
    <row r="63" spans="1:1" ht="15.75" customHeight="1" x14ac:dyDescent="0.2">
      <c r="A63" s="68"/>
    </row>
    <row r="64" spans="1:1" ht="15.75" customHeight="1" x14ac:dyDescent="0.2">
      <c r="A64" s="68"/>
    </row>
    <row r="65" spans="1:1" ht="15.75" customHeight="1" x14ac:dyDescent="0.2">
      <c r="A65" s="68"/>
    </row>
    <row r="66" spans="1:1" ht="15.75" customHeight="1" x14ac:dyDescent="0.2">
      <c r="A66" s="68"/>
    </row>
    <row r="67" spans="1:1" ht="15.75" customHeight="1" x14ac:dyDescent="0.2">
      <c r="A67" s="68"/>
    </row>
    <row r="68" spans="1:1" ht="15.75" customHeight="1" x14ac:dyDescent="0.2">
      <c r="A68" s="68"/>
    </row>
    <row r="69" spans="1:1" ht="15.75" customHeight="1" x14ac:dyDescent="0.2">
      <c r="A69" s="68"/>
    </row>
    <row r="70" spans="1:1" ht="15.75" customHeight="1" x14ac:dyDescent="0.2">
      <c r="A70" s="68"/>
    </row>
    <row r="71" spans="1:1" ht="15.75" customHeight="1" x14ac:dyDescent="0.2">
      <c r="A71" s="68"/>
    </row>
    <row r="72" spans="1:1" ht="15.75" customHeight="1" x14ac:dyDescent="0.2">
      <c r="A72" s="68"/>
    </row>
    <row r="73" spans="1:1" ht="15.75" customHeight="1" x14ac:dyDescent="0.2">
      <c r="A73" s="68"/>
    </row>
    <row r="74" spans="1:1" ht="15.75" customHeight="1" x14ac:dyDescent="0.2">
      <c r="A74" s="68"/>
    </row>
    <row r="75" spans="1:1" ht="15.75" customHeight="1" x14ac:dyDescent="0.2">
      <c r="A75" s="68"/>
    </row>
    <row r="76" spans="1:1" ht="15.75" customHeight="1" x14ac:dyDescent="0.2">
      <c r="A76" s="68"/>
    </row>
    <row r="77" spans="1:1" ht="15.75" customHeight="1" x14ac:dyDescent="0.2">
      <c r="A77" s="68"/>
    </row>
    <row r="78" spans="1:1" ht="15.75" customHeight="1" x14ac:dyDescent="0.2">
      <c r="A78" s="68"/>
    </row>
    <row r="79" spans="1:1" ht="15.75" customHeight="1" x14ac:dyDescent="0.2">
      <c r="A79" s="68"/>
    </row>
    <row r="80" spans="1:1" ht="15.75" customHeight="1" x14ac:dyDescent="0.2">
      <c r="A80" s="68"/>
    </row>
    <row r="81" spans="1:1" ht="15.75" customHeight="1" x14ac:dyDescent="0.2">
      <c r="A81" s="68"/>
    </row>
    <row r="82" spans="1:1" ht="15.75" customHeight="1" x14ac:dyDescent="0.2">
      <c r="A82" s="68"/>
    </row>
    <row r="83" spans="1:1" ht="15.75" customHeight="1" x14ac:dyDescent="0.2">
      <c r="A83" s="68"/>
    </row>
    <row r="84" spans="1:1" ht="15.75" customHeight="1" x14ac:dyDescent="0.2">
      <c r="A84" s="68"/>
    </row>
    <row r="85" spans="1:1" ht="15.75" customHeight="1" x14ac:dyDescent="0.2">
      <c r="A85" s="68"/>
    </row>
    <row r="86" spans="1:1" ht="15.75" customHeight="1" x14ac:dyDescent="0.2">
      <c r="A86" s="68"/>
    </row>
    <row r="87" spans="1:1" ht="15.75" customHeight="1" x14ac:dyDescent="0.2">
      <c r="A87" s="68"/>
    </row>
    <row r="88" spans="1:1" ht="15.75" customHeight="1" x14ac:dyDescent="0.2">
      <c r="A88" s="68"/>
    </row>
    <row r="89" spans="1:1" ht="15.75" customHeight="1" x14ac:dyDescent="0.2">
      <c r="A89" s="68"/>
    </row>
    <row r="90" spans="1:1" ht="15.75" customHeight="1" x14ac:dyDescent="0.2">
      <c r="A90" s="68"/>
    </row>
    <row r="91" spans="1:1" ht="15.75" customHeight="1" x14ac:dyDescent="0.2">
      <c r="A91" s="68"/>
    </row>
    <row r="92" spans="1:1" ht="15.75" customHeight="1" x14ac:dyDescent="0.2">
      <c r="A92" s="68"/>
    </row>
    <row r="93" spans="1:1" ht="15.75" customHeight="1" x14ac:dyDescent="0.2">
      <c r="A93" s="68"/>
    </row>
    <row r="94" spans="1:1" ht="15.75" customHeight="1" x14ac:dyDescent="0.2">
      <c r="A94" s="68"/>
    </row>
    <row r="95" spans="1:1" ht="15.75" customHeight="1" x14ac:dyDescent="0.2">
      <c r="A95" s="68"/>
    </row>
    <row r="96" spans="1:1" ht="15.75" customHeight="1" x14ac:dyDescent="0.2">
      <c r="A96" s="68"/>
    </row>
    <row r="97" spans="1:1" ht="15.75" customHeight="1" x14ac:dyDescent="0.2">
      <c r="A97" s="68"/>
    </row>
    <row r="98" spans="1:1" ht="15.75" customHeight="1" x14ac:dyDescent="0.2">
      <c r="A98" s="68"/>
    </row>
    <row r="99" spans="1:1" ht="15.75" customHeight="1" x14ac:dyDescent="0.2">
      <c r="A99" s="68"/>
    </row>
    <row r="100" spans="1:1" ht="15.75" customHeight="1" x14ac:dyDescent="0.2">
      <c r="A100" s="68"/>
    </row>
    <row r="101" spans="1:1" ht="15.75" customHeight="1" x14ac:dyDescent="0.2">
      <c r="A101" s="68"/>
    </row>
    <row r="102" spans="1:1" ht="15.75" customHeight="1" x14ac:dyDescent="0.2">
      <c r="A102" s="68"/>
    </row>
    <row r="103" spans="1:1" ht="15.75" customHeight="1" x14ac:dyDescent="0.2">
      <c r="A103" s="68"/>
    </row>
    <row r="104" spans="1:1" ht="15.75" customHeight="1" x14ac:dyDescent="0.2">
      <c r="A104" s="68"/>
    </row>
    <row r="105" spans="1:1" ht="15.75" customHeight="1" x14ac:dyDescent="0.2">
      <c r="A105" s="68"/>
    </row>
    <row r="106" spans="1:1" ht="15.75" customHeight="1" x14ac:dyDescent="0.2">
      <c r="A106" s="68"/>
    </row>
    <row r="107" spans="1:1" ht="15.75" customHeight="1" x14ac:dyDescent="0.2">
      <c r="A107" s="68"/>
    </row>
    <row r="108" spans="1:1" ht="15.75" customHeight="1" x14ac:dyDescent="0.2">
      <c r="A108" s="68"/>
    </row>
    <row r="109" spans="1:1" ht="15.75" customHeight="1" x14ac:dyDescent="0.2">
      <c r="A109" s="68"/>
    </row>
    <row r="110" spans="1:1" ht="15.75" customHeight="1" x14ac:dyDescent="0.2">
      <c r="A110" s="68"/>
    </row>
    <row r="111" spans="1:1" ht="15.75" customHeight="1" x14ac:dyDescent="0.2">
      <c r="A111" s="68"/>
    </row>
    <row r="112" spans="1:1" ht="15.75" customHeight="1" x14ac:dyDescent="0.2">
      <c r="A112" s="68"/>
    </row>
    <row r="113" spans="1:1" ht="15.75" customHeight="1" x14ac:dyDescent="0.2">
      <c r="A113" s="68"/>
    </row>
    <row r="114" spans="1:1" ht="15.75" customHeight="1" x14ac:dyDescent="0.2">
      <c r="A114" s="68"/>
    </row>
    <row r="115" spans="1:1" ht="15.75" customHeight="1" x14ac:dyDescent="0.2">
      <c r="A115" s="68"/>
    </row>
    <row r="116" spans="1:1" ht="15.75" customHeight="1" x14ac:dyDescent="0.2">
      <c r="A116" s="68"/>
    </row>
    <row r="117" spans="1:1" ht="15.75" customHeight="1" x14ac:dyDescent="0.2">
      <c r="A117" s="68"/>
    </row>
    <row r="118" spans="1:1" ht="15.75" customHeight="1" x14ac:dyDescent="0.2">
      <c r="A118" s="68"/>
    </row>
    <row r="119" spans="1:1" ht="15.75" customHeight="1" x14ac:dyDescent="0.2">
      <c r="A119" s="68"/>
    </row>
    <row r="120" spans="1:1" ht="15.75" customHeight="1" x14ac:dyDescent="0.2">
      <c r="A120" s="68"/>
    </row>
    <row r="121" spans="1:1" ht="15.75" customHeight="1" x14ac:dyDescent="0.2">
      <c r="A121" s="68"/>
    </row>
    <row r="122" spans="1:1" ht="15.75" customHeight="1" x14ac:dyDescent="0.2">
      <c r="A122" s="68"/>
    </row>
    <row r="123" spans="1:1" ht="15.75" customHeight="1" x14ac:dyDescent="0.2">
      <c r="A123" s="68"/>
    </row>
    <row r="124" spans="1:1" ht="15.75" customHeight="1" x14ac:dyDescent="0.2">
      <c r="A124" s="68"/>
    </row>
    <row r="125" spans="1:1" ht="15.75" customHeight="1" x14ac:dyDescent="0.2">
      <c r="A125" s="68"/>
    </row>
    <row r="126" spans="1:1" ht="15.75" customHeight="1" x14ac:dyDescent="0.2">
      <c r="A126" s="68"/>
    </row>
    <row r="127" spans="1:1" ht="15.75" customHeight="1" x14ac:dyDescent="0.2">
      <c r="A127" s="68"/>
    </row>
    <row r="128" spans="1:1" ht="15.75" customHeight="1" x14ac:dyDescent="0.2">
      <c r="A128" s="68"/>
    </row>
    <row r="129" spans="1:1" ht="15.75" customHeight="1" x14ac:dyDescent="0.2">
      <c r="A129" s="68"/>
    </row>
    <row r="130" spans="1:1" ht="15.75" customHeight="1" x14ac:dyDescent="0.2">
      <c r="A130" s="68"/>
    </row>
    <row r="131" spans="1:1" ht="15.75" customHeight="1" x14ac:dyDescent="0.2">
      <c r="A131" s="68"/>
    </row>
    <row r="132" spans="1:1" ht="15.75" customHeight="1" x14ac:dyDescent="0.2">
      <c r="A132" s="68"/>
    </row>
    <row r="133" spans="1:1" ht="15.75" customHeight="1" x14ac:dyDescent="0.2">
      <c r="A133" s="68"/>
    </row>
    <row r="134" spans="1:1" ht="15.75" customHeight="1" x14ac:dyDescent="0.2">
      <c r="A134" s="68"/>
    </row>
    <row r="135" spans="1:1" ht="15.75" customHeight="1" x14ac:dyDescent="0.2">
      <c r="A135" s="68"/>
    </row>
    <row r="136" spans="1:1" ht="15.75" customHeight="1" x14ac:dyDescent="0.2">
      <c r="A136" s="68"/>
    </row>
    <row r="137" spans="1:1" ht="15.75" customHeight="1" x14ac:dyDescent="0.2">
      <c r="A137" s="68"/>
    </row>
    <row r="138" spans="1:1" ht="15.75" customHeight="1" x14ac:dyDescent="0.2">
      <c r="A138" s="68"/>
    </row>
    <row r="139" spans="1:1" ht="15.75" customHeight="1" x14ac:dyDescent="0.2">
      <c r="A139" s="68"/>
    </row>
    <row r="140" spans="1:1" ht="15.75" customHeight="1" x14ac:dyDescent="0.2">
      <c r="A140" s="68"/>
    </row>
    <row r="141" spans="1:1" ht="15.75" customHeight="1" x14ac:dyDescent="0.2">
      <c r="A141" s="68"/>
    </row>
    <row r="142" spans="1:1" ht="15.75" customHeight="1" x14ac:dyDescent="0.2">
      <c r="A142" s="68"/>
    </row>
    <row r="143" spans="1:1" ht="15.75" customHeight="1" x14ac:dyDescent="0.2">
      <c r="A143" s="68"/>
    </row>
    <row r="144" spans="1:1" ht="15.75" customHeight="1" x14ac:dyDescent="0.2">
      <c r="A144" s="68"/>
    </row>
    <row r="145" spans="1:1" ht="15.75" customHeight="1" x14ac:dyDescent="0.2">
      <c r="A145" s="68"/>
    </row>
    <row r="146" spans="1:1" ht="15.75" customHeight="1" x14ac:dyDescent="0.2">
      <c r="A146" s="68"/>
    </row>
    <row r="147" spans="1:1" ht="15.75" customHeight="1" x14ac:dyDescent="0.2">
      <c r="A147" s="68"/>
    </row>
    <row r="148" spans="1:1" ht="15.75" customHeight="1" x14ac:dyDescent="0.2">
      <c r="A148" s="68"/>
    </row>
    <row r="149" spans="1:1" ht="15.75" customHeight="1" x14ac:dyDescent="0.2">
      <c r="A149" s="68"/>
    </row>
    <row r="150" spans="1:1" ht="15.75" customHeight="1" x14ac:dyDescent="0.2">
      <c r="A150" s="68"/>
    </row>
    <row r="151" spans="1:1" ht="15.75" customHeight="1" x14ac:dyDescent="0.2">
      <c r="A151" s="68"/>
    </row>
    <row r="152" spans="1:1" ht="15.75" customHeight="1" x14ac:dyDescent="0.2">
      <c r="A152" s="68"/>
    </row>
    <row r="153" spans="1:1" ht="15.75" customHeight="1" x14ac:dyDescent="0.2">
      <c r="A153" s="68"/>
    </row>
    <row r="154" spans="1:1" ht="15.75" customHeight="1" x14ac:dyDescent="0.2">
      <c r="A154" s="68"/>
    </row>
    <row r="155" spans="1:1" ht="15.75" customHeight="1" x14ac:dyDescent="0.2">
      <c r="A155" s="68"/>
    </row>
    <row r="156" spans="1:1" ht="15.75" customHeight="1" x14ac:dyDescent="0.2">
      <c r="A156" s="68"/>
    </row>
    <row r="157" spans="1:1" ht="15.75" customHeight="1" x14ac:dyDescent="0.2">
      <c r="A157" s="68"/>
    </row>
    <row r="158" spans="1:1" ht="15.75" customHeight="1" x14ac:dyDescent="0.2">
      <c r="A158" s="68"/>
    </row>
    <row r="159" spans="1:1" ht="15.75" customHeight="1" x14ac:dyDescent="0.2">
      <c r="A159" s="68"/>
    </row>
    <row r="160" spans="1:1" ht="15.75" customHeight="1" x14ac:dyDescent="0.2">
      <c r="A160" s="68"/>
    </row>
    <row r="161" spans="1:1" ht="15.75" customHeight="1" x14ac:dyDescent="0.2">
      <c r="A161" s="68"/>
    </row>
    <row r="162" spans="1:1" ht="15.75" customHeight="1" x14ac:dyDescent="0.2">
      <c r="A162" s="68"/>
    </row>
    <row r="163" spans="1:1" ht="15.75" customHeight="1" x14ac:dyDescent="0.2">
      <c r="A163" s="68"/>
    </row>
    <row r="164" spans="1:1" ht="15.75" customHeight="1" x14ac:dyDescent="0.2">
      <c r="A164" s="68"/>
    </row>
    <row r="165" spans="1:1" ht="15.75" customHeight="1" x14ac:dyDescent="0.2">
      <c r="A165" s="68"/>
    </row>
    <row r="166" spans="1:1" ht="15.75" customHeight="1" x14ac:dyDescent="0.2">
      <c r="A166" s="68"/>
    </row>
    <row r="167" spans="1:1" ht="15.75" customHeight="1" x14ac:dyDescent="0.2">
      <c r="A167" s="68"/>
    </row>
    <row r="168" spans="1:1" ht="15.75" customHeight="1" x14ac:dyDescent="0.2">
      <c r="A168" s="68"/>
    </row>
    <row r="169" spans="1:1" ht="15.75" customHeight="1" x14ac:dyDescent="0.2">
      <c r="A169" s="68"/>
    </row>
    <row r="170" spans="1:1" ht="15.75" customHeight="1" x14ac:dyDescent="0.2">
      <c r="A170" s="68"/>
    </row>
    <row r="171" spans="1:1" ht="15.75" customHeight="1" x14ac:dyDescent="0.2">
      <c r="A171" s="68"/>
    </row>
    <row r="172" spans="1:1" ht="15.75" customHeight="1" x14ac:dyDescent="0.2">
      <c r="A172" s="68"/>
    </row>
    <row r="173" spans="1:1" ht="15.75" customHeight="1" x14ac:dyDescent="0.2">
      <c r="A173" s="68"/>
    </row>
    <row r="174" spans="1:1" ht="15.75" customHeight="1" x14ac:dyDescent="0.2">
      <c r="A174" s="68"/>
    </row>
    <row r="175" spans="1:1" ht="15.75" customHeight="1" x14ac:dyDescent="0.2">
      <c r="A175" s="68"/>
    </row>
    <row r="176" spans="1:1" ht="15.75" customHeight="1" x14ac:dyDescent="0.2">
      <c r="A176" s="68"/>
    </row>
    <row r="177" spans="1:1" ht="15.75" customHeight="1" x14ac:dyDescent="0.2">
      <c r="A177" s="68"/>
    </row>
    <row r="178" spans="1:1" ht="15.75" customHeight="1" x14ac:dyDescent="0.2">
      <c r="A178" s="68"/>
    </row>
    <row r="179" spans="1:1" ht="15.75" customHeight="1" x14ac:dyDescent="0.2">
      <c r="A179" s="68"/>
    </row>
    <row r="180" spans="1:1" ht="15.75" customHeight="1" x14ac:dyDescent="0.2">
      <c r="A180" s="68"/>
    </row>
    <row r="181" spans="1:1" ht="15.75" customHeight="1" x14ac:dyDescent="0.2">
      <c r="A181" s="68"/>
    </row>
    <row r="182" spans="1:1" ht="15.75" customHeight="1" x14ac:dyDescent="0.2">
      <c r="A182" s="68"/>
    </row>
    <row r="183" spans="1:1" ht="15.75" customHeight="1" x14ac:dyDescent="0.2">
      <c r="A183" s="68"/>
    </row>
    <row r="184" spans="1:1" ht="15.75" customHeight="1" x14ac:dyDescent="0.2">
      <c r="A184" s="68"/>
    </row>
    <row r="185" spans="1:1" ht="15.75" customHeight="1" x14ac:dyDescent="0.2">
      <c r="A185" s="68"/>
    </row>
    <row r="186" spans="1:1" ht="15.75" customHeight="1" x14ac:dyDescent="0.2">
      <c r="A186" s="68"/>
    </row>
    <row r="187" spans="1:1" ht="15.75" customHeight="1" x14ac:dyDescent="0.2">
      <c r="A187" s="68"/>
    </row>
    <row r="188" spans="1:1" ht="15.75" customHeight="1" x14ac:dyDescent="0.2">
      <c r="A188" s="68"/>
    </row>
    <row r="189" spans="1:1" ht="15.75" customHeight="1" x14ac:dyDescent="0.2">
      <c r="A189" s="68"/>
    </row>
    <row r="190" spans="1:1" ht="15.75" customHeight="1" x14ac:dyDescent="0.2">
      <c r="A190" s="68"/>
    </row>
    <row r="191" spans="1:1" ht="15.75" customHeight="1" x14ac:dyDescent="0.2">
      <c r="A191" s="68"/>
    </row>
    <row r="192" spans="1:1" ht="15.75" customHeight="1" x14ac:dyDescent="0.2">
      <c r="A192" s="68"/>
    </row>
    <row r="193" spans="1:1" ht="15.75" customHeight="1" x14ac:dyDescent="0.2">
      <c r="A193" s="68"/>
    </row>
    <row r="194" spans="1:1" ht="15.75" customHeight="1" x14ac:dyDescent="0.2">
      <c r="A194" s="68"/>
    </row>
    <row r="195" spans="1:1" ht="15.75" customHeight="1" x14ac:dyDescent="0.2">
      <c r="A195" s="68"/>
    </row>
    <row r="196" spans="1:1" ht="15.75" customHeight="1" x14ac:dyDescent="0.2">
      <c r="A196" s="68"/>
    </row>
    <row r="197" spans="1:1" ht="15.75" customHeight="1" x14ac:dyDescent="0.2">
      <c r="A197" s="68"/>
    </row>
    <row r="198" spans="1:1" ht="15.75" customHeight="1" x14ac:dyDescent="0.2">
      <c r="A198" s="68"/>
    </row>
    <row r="199" spans="1:1" ht="15.75" customHeight="1" x14ac:dyDescent="0.2">
      <c r="A199" s="68"/>
    </row>
    <row r="200" spans="1:1" ht="15.75" customHeight="1" x14ac:dyDescent="0.2">
      <c r="A200" s="68"/>
    </row>
    <row r="201" spans="1:1" ht="15.75" customHeight="1" x14ac:dyDescent="0.2">
      <c r="A201" s="68"/>
    </row>
    <row r="202" spans="1:1" ht="15.75" customHeight="1" x14ac:dyDescent="0.2">
      <c r="A202" s="68"/>
    </row>
    <row r="203" spans="1:1" ht="15.75" customHeight="1" x14ac:dyDescent="0.2">
      <c r="A203" s="68"/>
    </row>
    <row r="204" spans="1:1" ht="15.75" customHeight="1" x14ac:dyDescent="0.2">
      <c r="A204" s="68"/>
    </row>
    <row r="205" spans="1:1" ht="15.75" customHeight="1" x14ac:dyDescent="0.2">
      <c r="A205" s="68"/>
    </row>
    <row r="206" spans="1:1" ht="15.75" customHeight="1" x14ac:dyDescent="0.2">
      <c r="A206" s="68"/>
    </row>
    <row r="207" spans="1:1" ht="15.75" customHeight="1" x14ac:dyDescent="0.2">
      <c r="A207" s="68"/>
    </row>
    <row r="208" spans="1:1" ht="15.75" customHeight="1" x14ac:dyDescent="0.2">
      <c r="A208" s="68"/>
    </row>
    <row r="209" spans="1:1" ht="15.75" customHeight="1" x14ac:dyDescent="0.2">
      <c r="A209" s="68"/>
    </row>
    <row r="210" spans="1:1" ht="15.75" customHeight="1" x14ac:dyDescent="0.2">
      <c r="A210" s="68"/>
    </row>
    <row r="211" spans="1:1" ht="15.75" customHeight="1" x14ac:dyDescent="0.2">
      <c r="A211" s="68"/>
    </row>
    <row r="212" spans="1:1" ht="15.75" customHeight="1" x14ac:dyDescent="0.2">
      <c r="A212" s="68"/>
    </row>
    <row r="213" spans="1:1" ht="15.75" customHeight="1" x14ac:dyDescent="0.2">
      <c r="A213" s="68"/>
    </row>
    <row r="214" spans="1:1" ht="15.75" customHeight="1" x14ac:dyDescent="0.2">
      <c r="A214" s="68"/>
    </row>
    <row r="215" spans="1:1" ht="15.75" customHeight="1" x14ac:dyDescent="0.2">
      <c r="A215" s="68"/>
    </row>
    <row r="216" spans="1:1" ht="15.75" customHeight="1" x14ac:dyDescent="0.2">
      <c r="A216" s="68"/>
    </row>
    <row r="217" spans="1:1" ht="15.75" customHeight="1" x14ac:dyDescent="0.2">
      <c r="A217" s="68"/>
    </row>
    <row r="218" spans="1:1" ht="15.75" customHeight="1" x14ac:dyDescent="0.2">
      <c r="A218" s="68"/>
    </row>
    <row r="219" spans="1:1" ht="15.75" customHeight="1" x14ac:dyDescent="0.2">
      <c r="A219" s="68"/>
    </row>
    <row r="220" spans="1:1" ht="15.75" customHeight="1" x14ac:dyDescent="0.2">
      <c r="A220" s="68"/>
    </row>
    <row r="221" spans="1:1" ht="15.75" customHeight="1" x14ac:dyDescent="0.2">
      <c r="A221" s="68"/>
    </row>
    <row r="222" spans="1:1" ht="15.75" customHeight="1" x14ac:dyDescent="0.2">
      <c r="A222" s="68"/>
    </row>
    <row r="223" spans="1:1" ht="15.75" customHeight="1" x14ac:dyDescent="0.2">
      <c r="A223" s="68"/>
    </row>
    <row r="224" spans="1:1" ht="15.75" customHeight="1" x14ac:dyDescent="0.2">
      <c r="A224" s="68"/>
    </row>
    <row r="225" spans="1:1" ht="15.75" customHeight="1" x14ac:dyDescent="0.2">
      <c r="A225" s="68"/>
    </row>
    <row r="226" spans="1:1" ht="15.75" customHeight="1" x14ac:dyDescent="0.2">
      <c r="A226" s="68"/>
    </row>
    <row r="227" spans="1:1" ht="15.75" customHeight="1" x14ac:dyDescent="0.2">
      <c r="A227" s="68"/>
    </row>
    <row r="228" spans="1:1" ht="15.75" customHeight="1" x14ac:dyDescent="0.2">
      <c r="A228" s="68"/>
    </row>
    <row r="229" spans="1:1" ht="15.75" customHeight="1" x14ac:dyDescent="0.2">
      <c r="A229" s="68"/>
    </row>
    <row r="230" spans="1:1" ht="15.75" customHeight="1" x14ac:dyDescent="0.2">
      <c r="A230" s="68"/>
    </row>
    <row r="231" spans="1:1" ht="15.75" customHeight="1" x14ac:dyDescent="0.2">
      <c r="A231" s="68"/>
    </row>
    <row r="232" spans="1:1" ht="15.75" customHeight="1" x14ac:dyDescent="0.2">
      <c r="A232" s="68"/>
    </row>
    <row r="233" spans="1:1" ht="15.75" customHeight="1" x14ac:dyDescent="0.2">
      <c r="A233" s="68"/>
    </row>
    <row r="234" spans="1:1" ht="15.75" customHeight="1" x14ac:dyDescent="0.2">
      <c r="A234" s="68"/>
    </row>
    <row r="235" spans="1:1" ht="15.75" customHeight="1" x14ac:dyDescent="0.2">
      <c r="A235" s="68"/>
    </row>
    <row r="236" spans="1:1" ht="15.75" customHeight="1" x14ac:dyDescent="0.2">
      <c r="A236" s="68"/>
    </row>
    <row r="237" spans="1:1" ht="15.75" customHeight="1" x14ac:dyDescent="0.2">
      <c r="A237" s="68"/>
    </row>
    <row r="238" spans="1:1" ht="15.75" customHeight="1" x14ac:dyDescent="0.2">
      <c r="A238" s="68"/>
    </row>
    <row r="239" spans="1:1" ht="15.75" customHeight="1" x14ac:dyDescent="0.2">
      <c r="A239" s="68"/>
    </row>
    <row r="240" spans="1:1" ht="15.75" customHeight="1" x14ac:dyDescent="0.2">
      <c r="A240" s="68"/>
    </row>
    <row r="241" spans="1:1" ht="15.75" customHeight="1" x14ac:dyDescent="0.2">
      <c r="A241" s="68"/>
    </row>
    <row r="242" spans="1:1" ht="15.75" customHeight="1" x14ac:dyDescent="0.2">
      <c r="A242" s="68"/>
    </row>
    <row r="243" spans="1:1" ht="15.75" customHeight="1" x14ac:dyDescent="0.2">
      <c r="A243" s="68"/>
    </row>
    <row r="244" spans="1:1" ht="15.75" customHeight="1" x14ac:dyDescent="0.2">
      <c r="A244" s="68"/>
    </row>
    <row r="245" spans="1:1" ht="15.75" customHeight="1" x14ac:dyDescent="0.2">
      <c r="A245" s="68"/>
    </row>
    <row r="246" spans="1:1" ht="15.75" customHeight="1" x14ac:dyDescent="0.2">
      <c r="A246" s="68"/>
    </row>
    <row r="247" spans="1:1" ht="15.75" customHeight="1" x14ac:dyDescent="0.2">
      <c r="A247" s="68"/>
    </row>
    <row r="248" spans="1:1" ht="15.75" customHeight="1" x14ac:dyDescent="0.2">
      <c r="A248" s="68"/>
    </row>
    <row r="249" spans="1:1" ht="15.75" customHeight="1" x14ac:dyDescent="0.2">
      <c r="A249" s="68"/>
    </row>
    <row r="250" spans="1:1" ht="15.75" customHeight="1" x14ac:dyDescent="0.2">
      <c r="A250" s="68"/>
    </row>
    <row r="251" spans="1:1" ht="15.75" customHeight="1" x14ac:dyDescent="0.2">
      <c r="A251" s="68"/>
    </row>
    <row r="252" spans="1:1" ht="15.75" customHeight="1" x14ac:dyDescent="0.2">
      <c r="A252" s="68"/>
    </row>
    <row r="253" spans="1:1" ht="15.75" customHeight="1" x14ac:dyDescent="0.2">
      <c r="A253" s="68"/>
    </row>
    <row r="254" spans="1:1" ht="15.75" customHeight="1" x14ac:dyDescent="0.2">
      <c r="A254" s="68"/>
    </row>
    <row r="255" spans="1:1" ht="15.75" customHeight="1" x14ac:dyDescent="0.2">
      <c r="A255" s="68"/>
    </row>
    <row r="256" spans="1:1" ht="15.75" customHeight="1" x14ac:dyDescent="0.2">
      <c r="A256" s="68"/>
    </row>
    <row r="257" spans="1:1" ht="15.75" customHeight="1" x14ac:dyDescent="0.2">
      <c r="A257" s="68"/>
    </row>
    <row r="258" spans="1:1" ht="15.75" customHeight="1" x14ac:dyDescent="0.2">
      <c r="A258" s="68"/>
    </row>
    <row r="259" spans="1:1" ht="15.75" customHeight="1" x14ac:dyDescent="0.2">
      <c r="A259" s="68"/>
    </row>
    <row r="260" spans="1:1" ht="15.75" customHeight="1" x14ac:dyDescent="0.2">
      <c r="A260" s="68"/>
    </row>
    <row r="261" spans="1:1" ht="15.75" customHeight="1" x14ac:dyDescent="0.2">
      <c r="A261" s="68"/>
    </row>
    <row r="262" spans="1:1" ht="15.75" customHeight="1" x14ac:dyDescent="0.2">
      <c r="A262" s="68"/>
    </row>
    <row r="263" spans="1:1" ht="15.75" customHeight="1" x14ac:dyDescent="0.2">
      <c r="A263" s="68"/>
    </row>
    <row r="264" spans="1:1" ht="15.75" customHeight="1" x14ac:dyDescent="0.2">
      <c r="A264" s="68"/>
    </row>
    <row r="265" spans="1:1" ht="15.75" customHeight="1" x14ac:dyDescent="0.2">
      <c r="A265" s="68"/>
    </row>
    <row r="266" spans="1:1" ht="15.75" customHeight="1" x14ac:dyDescent="0.2">
      <c r="A266" s="68"/>
    </row>
    <row r="267" spans="1:1" ht="15.75" customHeight="1" x14ac:dyDescent="0.2">
      <c r="A267" s="68"/>
    </row>
    <row r="268" spans="1:1" ht="15.75" customHeight="1" x14ac:dyDescent="0.2">
      <c r="A268" s="68"/>
    </row>
    <row r="269" spans="1:1" ht="15.75" customHeight="1" x14ac:dyDescent="0.2">
      <c r="A269" s="68"/>
    </row>
    <row r="270" spans="1:1" ht="15.75" customHeight="1" x14ac:dyDescent="0.2">
      <c r="A270" s="68"/>
    </row>
    <row r="271" spans="1:1" ht="15.75" customHeight="1" x14ac:dyDescent="0.2">
      <c r="A271" s="68"/>
    </row>
    <row r="272" spans="1:1" ht="15.75" customHeight="1" x14ac:dyDescent="0.2">
      <c r="A272" s="68"/>
    </row>
    <row r="273" spans="1:1" ht="15.75" customHeight="1" x14ac:dyDescent="0.2">
      <c r="A273" s="68"/>
    </row>
    <row r="274" spans="1:1" ht="15.75" customHeight="1" x14ac:dyDescent="0.2">
      <c r="A274" s="68"/>
    </row>
    <row r="275" spans="1:1" ht="15.75" customHeight="1" x14ac:dyDescent="0.2">
      <c r="A275" s="68"/>
    </row>
    <row r="276" spans="1:1" ht="15.75" customHeight="1" x14ac:dyDescent="0.2">
      <c r="A276" s="68"/>
    </row>
    <row r="277" spans="1:1" ht="15.75" customHeight="1" x14ac:dyDescent="0.2">
      <c r="A277" s="68"/>
    </row>
    <row r="278" spans="1:1" ht="15.75" customHeight="1" x14ac:dyDescent="0.2">
      <c r="A278" s="68"/>
    </row>
    <row r="279" spans="1:1" ht="15.75" customHeight="1" x14ac:dyDescent="0.2">
      <c r="A279" s="68"/>
    </row>
    <row r="280" spans="1:1" ht="15.75" customHeight="1" x14ac:dyDescent="0.2">
      <c r="A280" s="68"/>
    </row>
    <row r="281" spans="1:1" ht="15.75" customHeight="1" x14ac:dyDescent="0.2">
      <c r="A281" s="68"/>
    </row>
    <row r="282" spans="1:1" ht="15.75" customHeight="1" x14ac:dyDescent="0.2">
      <c r="A282" s="68"/>
    </row>
    <row r="283" spans="1:1" ht="15.75" customHeight="1" x14ac:dyDescent="0.2">
      <c r="A283" s="68"/>
    </row>
    <row r="284" spans="1:1" ht="15.75" customHeight="1" x14ac:dyDescent="0.2">
      <c r="A284" s="68"/>
    </row>
    <row r="285" spans="1:1" ht="15.75" customHeight="1" x14ac:dyDescent="0.2">
      <c r="A285" s="68"/>
    </row>
    <row r="286" spans="1:1" ht="15.75" customHeight="1" x14ac:dyDescent="0.2">
      <c r="A286" s="68"/>
    </row>
    <row r="287" spans="1:1" ht="15.75" customHeight="1" x14ac:dyDescent="0.2">
      <c r="A287" s="68"/>
    </row>
    <row r="288" spans="1:1" ht="15.75" customHeight="1" x14ac:dyDescent="0.2">
      <c r="A288" s="68"/>
    </row>
    <row r="289" spans="1:1" ht="15.75" customHeight="1" x14ac:dyDescent="0.2">
      <c r="A289" s="68"/>
    </row>
    <row r="290" spans="1:1" ht="15.75" customHeight="1" x14ac:dyDescent="0.2">
      <c r="A290" s="68"/>
    </row>
    <row r="291" spans="1:1" ht="15.75" customHeight="1" x14ac:dyDescent="0.2">
      <c r="A291" s="68"/>
    </row>
    <row r="292" spans="1:1" ht="15.75" customHeight="1" x14ac:dyDescent="0.2">
      <c r="A292" s="68"/>
    </row>
    <row r="293" spans="1:1" ht="15.75" customHeight="1" x14ac:dyDescent="0.2">
      <c r="A293" s="68"/>
    </row>
    <row r="294" spans="1:1" ht="15.75" customHeight="1" x14ac:dyDescent="0.2">
      <c r="A294" s="68"/>
    </row>
    <row r="295" spans="1:1" ht="15.75" customHeight="1" x14ac:dyDescent="0.2">
      <c r="A295" s="68"/>
    </row>
    <row r="296" spans="1:1" ht="15.75" customHeight="1" x14ac:dyDescent="0.2">
      <c r="A296" s="68"/>
    </row>
    <row r="297" spans="1:1" ht="15.75" customHeight="1" x14ac:dyDescent="0.2">
      <c r="A297" s="68"/>
    </row>
    <row r="298" spans="1:1" ht="15.75" customHeight="1" x14ac:dyDescent="0.2">
      <c r="A298" s="68"/>
    </row>
    <row r="299" spans="1:1" ht="15.75" customHeight="1" x14ac:dyDescent="0.2">
      <c r="A299" s="68"/>
    </row>
    <row r="300" spans="1:1" ht="15.75" customHeight="1" x14ac:dyDescent="0.2">
      <c r="A300" s="68"/>
    </row>
    <row r="301" spans="1:1" ht="15.75" customHeight="1" x14ac:dyDescent="0.2">
      <c r="A301" s="68"/>
    </row>
    <row r="302" spans="1:1" ht="15.75" customHeight="1" x14ac:dyDescent="0.2">
      <c r="A302" s="68"/>
    </row>
    <row r="303" spans="1:1" ht="15.75" customHeight="1" x14ac:dyDescent="0.2">
      <c r="A303" s="68"/>
    </row>
    <row r="304" spans="1:1" ht="15.75" customHeight="1" x14ac:dyDescent="0.2">
      <c r="A304" s="68"/>
    </row>
    <row r="305" spans="1:1" ht="15.75" customHeight="1" x14ac:dyDescent="0.2">
      <c r="A305" s="68"/>
    </row>
    <row r="306" spans="1:1" ht="15.75" customHeight="1" x14ac:dyDescent="0.2">
      <c r="A306" s="68"/>
    </row>
    <row r="307" spans="1:1" ht="15.75" customHeight="1" x14ac:dyDescent="0.2">
      <c r="A307" s="68"/>
    </row>
    <row r="308" spans="1:1" ht="15.75" customHeight="1" x14ac:dyDescent="0.2">
      <c r="A308" s="68"/>
    </row>
    <row r="309" spans="1:1" ht="15.75" customHeight="1" x14ac:dyDescent="0.2">
      <c r="A309" s="68"/>
    </row>
    <row r="310" spans="1:1" ht="15.75" customHeight="1" x14ac:dyDescent="0.2">
      <c r="A310" s="68"/>
    </row>
    <row r="311" spans="1:1" ht="15.75" customHeight="1" x14ac:dyDescent="0.2">
      <c r="A311" s="68"/>
    </row>
    <row r="312" spans="1:1" ht="15.75" customHeight="1" x14ac:dyDescent="0.2">
      <c r="A312" s="68"/>
    </row>
    <row r="313" spans="1:1" ht="15.75" customHeight="1" x14ac:dyDescent="0.2">
      <c r="A313" s="68"/>
    </row>
    <row r="314" spans="1:1" ht="15.75" customHeight="1" x14ac:dyDescent="0.2">
      <c r="A314" s="68"/>
    </row>
    <row r="315" spans="1:1" ht="15.75" customHeight="1" x14ac:dyDescent="0.2">
      <c r="A315" s="68"/>
    </row>
    <row r="316" spans="1:1" ht="15.75" customHeight="1" x14ac:dyDescent="0.2">
      <c r="A316" s="68"/>
    </row>
    <row r="317" spans="1:1" ht="15.75" customHeight="1" x14ac:dyDescent="0.2">
      <c r="A317" s="68"/>
    </row>
    <row r="318" spans="1:1" ht="15.75" customHeight="1" x14ac:dyDescent="0.2">
      <c r="A318" s="68"/>
    </row>
    <row r="319" spans="1:1" ht="15.75" customHeight="1" x14ac:dyDescent="0.2">
      <c r="A319" s="68"/>
    </row>
    <row r="320" spans="1:1" ht="15.75" customHeight="1" x14ac:dyDescent="0.2">
      <c r="A320" s="68"/>
    </row>
    <row r="321" spans="1:1" ht="15.75" customHeight="1" x14ac:dyDescent="0.2">
      <c r="A321" s="68"/>
    </row>
    <row r="322" spans="1:1" ht="15.75" customHeight="1" x14ac:dyDescent="0.2">
      <c r="A322" s="68"/>
    </row>
    <row r="323" spans="1:1" ht="15.75" customHeight="1" x14ac:dyDescent="0.2">
      <c r="A323" s="68"/>
    </row>
    <row r="324" spans="1:1" ht="15.75" customHeight="1" x14ac:dyDescent="0.2">
      <c r="A324" s="68"/>
    </row>
    <row r="325" spans="1:1" ht="15.75" customHeight="1" x14ac:dyDescent="0.2">
      <c r="A325" s="68"/>
    </row>
    <row r="326" spans="1:1" ht="15.75" customHeight="1" x14ac:dyDescent="0.2">
      <c r="A326" s="68"/>
    </row>
    <row r="327" spans="1:1" ht="15.75" customHeight="1" x14ac:dyDescent="0.2">
      <c r="A327" s="68"/>
    </row>
    <row r="328" spans="1:1" ht="15.75" customHeight="1" x14ac:dyDescent="0.2">
      <c r="A328" s="68"/>
    </row>
    <row r="329" spans="1:1" ht="15.75" customHeight="1" x14ac:dyDescent="0.2">
      <c r="A329" s="68"/>
    </row>
    <row r="330" spans="1:1" ht="15.75" customHeight="1" x14ac:dyDescent="0.2">
      <c r="A330" s="68"/>
    </row>
    <row r="331" spans="1:1" ht="15.75" customHeight="1" x14ac:dyDescent="0.2">
      <c r="A331" s="68"/>
    </row>
    <row r="332" spans="1:1" ht="15.75" customHeight="1" x14ac:dyDescent="0.2">
      <c r="A332" s="68"/>
    </row>
    <row r="333" spans="1:1" ht="15.75" customHeight="1" x14ac:dyDescent="0.2">
      <c r="A333" s="68"/>
    </row>
    <row r="334" spans="1:1" ht="15.75" customHeight="1" x14ac:dyDescent="0.2">
      <c r="A334" s="68"/>
    </row>
    <row r="335" spans="1:1" ht="15.75" customHeight="1" x14ac:dyDescent="0.2">
      <c r="A335" s="68"/>
    </row>
    <row r="336" spans="1:1" ht="15.75" customHeight="1" x14ac:dyDescent="0.2">
      <c r="A336" s="68"/>
    </row>
    <row r="337" spans="1:1" ht="15.75" customHeight="1" x14ac:dyDescent="0.2">
      <c r="A337" s="68"/>
    </row>
    <row r="338" spans="1:1" ht="15.75" customHeight="1" x14ac:dyDescent="0.2">
      <c r="A338" s="68"/>
    </row>
    <row r="339" spans="1:1" ht="15.75" customHeight="1" x14ac:dyDescent="0.2">
      <c r="A339" s="68"/>
    </row>
    <row r="340" spans="1:1" ht="15.75" customHeight="1" x14ac:dyDescent="0.2">
      <c r="A340" s="68"/>
    </row>
    <row r="341" spans="1:1" ht="15.75" customHeight="1" x14ac:dyDescent="0.2">
      <c r="A341" s="68"/>
    </row>
    <row r="342" spans="1:1" ht="15.75" customHeight="1" x14ac:dyDescent="0.2">
      <c r="A342" s="68"/>
    </row>
    <row r="343" spans="1:1" ht="15.75" customHeight="1" x14ac:dyDescent="0.2">
      <c r="A343" s="68"/>
    </row>
    <row r="344" spans="1:1" ht="15.75" customHeight="1" x14ac:dyDescent="0.2">
      <c r="A344" s="68"/>
    </row>
    <row r="345" spans="1:1" ht="15.75" customHeight="1" x14ac:dyDescent="0.2">
      <c r="A345" s="68"/>
    </row>
    <row r="346" spans="1:1" ht="15.75" customHeight="1" x14ac:dyDescent="0.2">
      <c r="A346" s="68"/>
    </row>
    <row r="347" spans="1:1" ht="15.75" customHeight="1" x14ac:dyDescent="0.2">
      <c r="A347" s="68"/>
    </row>
    <row r="348" spans="1:1" ht="15.75" customHeight="1" x14ac:dyDescent="0.2">
      <c r="A348" s="68"/>
    </row>
    <row r="349" spans="1:1" ht="15.75" customHeight="1" x14ac:dyDescent="0.2">
      <c r="A349" s="68"/>
    </row>
    <row r="350" spans="1:1" ht="15.75" customHeight="1" x14ac:dyDescent="0.2">
      <c r="A350" s="68"/>
    </row>
    <row r="351" spans="1:1" ht="15.75" customHeight="1" x14ac:dyDescent="0.2">
      <c r="A351" s="68"/>
    </row>
    <row r="352" spans="1:1" ht="15.75" customHeight="1" x14ac:dyDescent="0.2">
      <c r="A352" s="68"/>
    </row>
    <row r="353" spans="1:1" ht="15.75" customHeight="1" x14ac:dyDescent="0.2">
      <c r="A353" s="68"/>
    </row>
    <row r="354" spans="1:1" ht="15.75" customHeight="1" x14ac:dyDescent="0.2">
      <c r="A354" s="68"/>
    </row>
    <row r="355" spans="1:1" ht="15.75" customHeight="1" x14ac:dyDescent="0.2">
      <c r="A355" s="68"/>
    </row>
    <row r="356" spans="1:1" ht="15.75" customHeight="1" x14ac:dyDescent="0.2">
      <c r="A356" s="68"/>
    </row>
    <row r="357" spans="1:1" ht="15.75" customHeight="1" x14ac:dyDescent="0.2">
      <c r="A357" s="68"/>
    </row>
    <row r="358" spans="1:1" ht="15.75" customHeight="1" x14ac:dyDescent="0.2">
      <c r="A358" s="68"/>
    </row>
    <row r="359" spans="1:1" ht="15.75" customHeight="1" x14ac:dyDescent="0.2">
      <c r="A359" s="68"/>
    </row>
    <row r="360" spans="1:1" ht="15.75" customHeight="1" x14ac:dyDescent="0.2">
      <c r="A360" s="68"/>
    </row>
    <row r="361" spans="1:1" ht="15.75" customHeight="1" x14ac:dyDescent="0.2">
      <c r="A361" s="68"/>
    </row>
    <row r="362" spans="1:1" ht="15.75" customHeight="1" x14ac:dyDescent="0.2">
      <c r="A362" s="68"/>
    </row>
    <row r="363" spans="1:1" ht="15.75" customHeight="1" x14ac:dyDescent="0.2">
      <c r="A363" s="68"/>
    </row>
    <row r="364" spans="1:1" ht="15.75" customHeight="1" x14ac:dyDescent="0.2">
      <c r="A364" s="68"/>
    </row>
    <row r="365" spans="1:1" ht="15.75" customHeight="1" x14ac:dyDescent="0.2">
      <c r="A365" s="68"/>
    </row>
    <row r="366" spans="1:1" ht="15.75" customHeight="1" x14ac:dyDescent="0.2">
      <c r="A366" s="68"/>
    </row>
    <row r="367" spans="1:1" ht="15.75" customHeight="1" x14ac:dyDescent="0.2">
      <c r="A367" s="68"/>
    </row>
    <row r="368" spans="1:1" ht="15.75" customHeight="1" x14ac:dyDescent="0.2">
      <c r="A368" s="68"/>
    </row>
    <row r="369" spans="1:1" ht="15.75" customHeight="1" x14ac:dyDescent="0.2">
      <c r="A369" s="68"/>
    </row>
    <row r="370" spans="1:1" ht="15.75" customHeight="1" x14ac:dyDescent="0.2">
      <c r="A370" s="68"/>
    </row>
    <row r="371" spans="1:1" ht="15.75" customHeight="1" x14ac:dyDescent="0.2">
      <c r="A371" s="68"/>
    </row>
    <row r="372" spans="1:1" ht="15.75" customHeight="1" x14ac:dyDescent="0.2">
      <c r="A372" s="68"/>
    </row>
    <row r="373" spans="1:1" ht="15.75" customHeight="1" x14ac:dyDescent="0.2">
      <c r="A373" s="68"/>
    </row>
    <row r="374" spans="1:1" ht="15.75" customHeight="1" x14ac:dyDescent="0.2">
      <c r="A374" s="68"/>
    </row>
    <row r="375" spans="1:1" ht="15.75" customHeight="1" x14ac:dyDescent="0.2">
      <c r="A375" s="68"/>
    </row>
    <row r="376" spans="1:1" ht="15.75" customHeight="1" x14ac:dyDescent="0.2">
      <c r="A376" s="68"/>
    </row>
    <row r="377" spans="1:1" ht="15.75" customHeight="1" x14ac:dyDescent="0.2">
      <c r="A377" s="68"/>
    </row>
    <row r="378" spans="1:1" ht="15.75" customHeight="1" x14ac:dyDescent="0.2">
      <c r="A378" s="68"/>
    </row>
    <row r="379" spans="1:1" ht="15.75" customHeight="1" x14ac:dyDescent="0.2">
      <c r="A379" s="68"/>
    </row>
    <row r="380" spans="1:1" ht="15.75" customHeight="1" x14ac:dyDescent="0.2">
      <c r="A380" s="68"/>
    </row>
    <row r="381" spans="1:1" ht="15.75" customHeight="1" x14ac:dyDescent="0.2">
      <c r="A381" s="68"/>
    </row>
    <row r="382" spans="1:1" ht="15.75" customHeight="1" x14ac:dyDescent="0.2">
      <c r="A382" s="68"/>
    </row>
    <row r="383" spans="1:1" ht="15.75" customHeight="1" x14ac:dyDescent="0.2">
      <c r="A383" s="68"/>
    </row>
    <row r="384" spans="1:1" ht="15.75" customHeight="1" x14ac:dyDescent="0.2">
      <c r="A384" s="68"/>
    </row>
    <row r="385" spans="1:1" ht="15.75" customHeight="1" x14ac:dyDescent="0.2">
      <c r="A385" s="68"/>
    </row>
    <row r="386" spans="1:1" ht="15.75" customHeight="1" x14ac:dyDescent="0.2">
      <c r="A386" s="68"/>
    </row>
    <row r="387" spans="1:1" ht="15.75" customHeight="1" x14ac:dyDescent="0.2">
      <c r="A387" s="68"/>
    </row>
    <row r="388" spans="1:1" ht="15.75" customHeight="1" x14ac:dyDescent="0.2">
      <c r="A388" s="68"/>
    </row>
    <row r="389" spans="1:1" ht="15.75" customHeight="1" x14ac:dyDescent="0.2">
      <c r="A389" s="68"/>
    </row>
    <row r="390" spans="1:1" ht="15.75" customHeight="1" x14ac:dyDescent="0.2">
      <c r="A390" s="68"/>
    </row>
    <row r="391" spans="1:1" ht="15.75" customHeight="1" x14ac:dyDescent="0.2">
      <c r="A391" s="68"/>
    </row>
    <row r="392" spans="1:1" ht="15.75" customHeight="1" x14ac:dyDescent="0.2">
      <c r="A392" s="68"/>
    </row>
    <row r="393" spans="1:1" ht="15.75" customHeight="1" x14ac:dyDescent="0.2">
      <c r="A393" s="68"/>
    </row>
    <row r="394" spans="1:1" ht="15.75" customHeight="1" x14ac:dyDescent="0.2">
      <c r="A394" s="68"/>
    </row>
    <row r="395" spans="1:1" ht="15.75" customHeight="1" x14ac:dyDescent="0.2">
      <c r="A395" s="68"/>
    </row>
    <row r="396" spans="1:1" ht="15.75" customHeight="1" x14ac:dyDescent="0.2">
      <c r="A396" s="68"/>
    </row>
    <row r="397" spans="1:1" ht="15.75" customHeight="1" x14ac:dyDescent="0.2">
      <c r="A397" s="68"/>
    </row>
    <row r="398" spans="1:1" ht="15.75" customHeight="1" x14ac:dyDescent="0.2">
      <c r="A398" s="68"/>
    </row>
    <row r="399" spans="1:1" ht="15.75" customHeight="1" x14ac:dyDescent="0.2">
      <c r="A399" s="68"/>
    </row>
    <row r="400" spans="1:1" ht="15.75" customHeight="1" x14ac:dyDescent="0.2">
      <c r="A400" s="68"/>
    </row>
    <row r="401" spans="1:1" ht="15.75" customHeight="1" x14ac:dyDescent="0.2">
      <c r="A401" s="68"/>
    </row>
    <row r="402" spans="1:1" ht="15.75" customHeight="1" x14ac:dyDescent="0.2">
      <c r="A402" s="68"/>
    </row>
    <row r="403" spans="1:1" ht="15.75" customHeight="1" x14ac:dyDescent="0.2">
      <c r="A403" s="68"/>
    </row>
    <row r="404" spans="1:1" ht="15.75" customHeight="1" x14ac:dyDescent="0.2">
      <c r="A404" s="68"/>
    </row>
    <row r="405" spans="1:1" ht="15.75" customHeight="1" x14ac:dyDescent="0.2">
      <c r="A405" s="68"/>
    </row>
    <row r="406" spans="1:1" ht="15.75" customHeight="1" x14ac:dyDescent="0.2">
      <c r="A406" s="68"/>
    </row>
    <row r="407" spans="1:1" ht="15.75" customHeight="1" x14ac:dyDescent="0.2">
      <c r="A407" s="68"/>
    </row>
    <row r="408" spans="1:1" ht="15.75" customHeight="1" x14ac:dyDescent="0.2">
      <c r="A408" s="68"/>
    </row>
    <row r="409" spans="1:1" ht="15.75" customHeight="1" x14ac:dyDescent="0.2">
      <c r="A409" s="68"/>
    </row>
    <row r="410" spans="1:1" ht="15.75" customHeight="1" x14ac:dyDescent="0.2">
      <c r="A410" s="68"/>
    </row>
    <row r="411" spans="1:1" ht="15.75" customHeight="1" x14ac:dyDescent="0.2">
      <c r="A411" s="68"/>
    </row>
    <row r="412" spans="1:1" ht="15.75" customHeight="1" x14ac:dyDescent="0.2">
      <c r="A412" s="68"/>
    </row>
    <row r="413" spans="1:1" ht="15.75" customHeight="1" x14ac:dyDescent="0.2">
      <c r="A413" s="68"/>
    </row>
    <row r="414" spans="1:1" ht="15.75" customHeight="1" x14ac:dyDescent="0.2">
      <c r="A414" s="68"/>
    </row>
    <row r="415" spans="1:1" ht="15.75" customHeight="1" x14ac:dyDescent="0.2">
      <c r="A415" s="68"/>
    </row>
    <row r="416" spans="1:1" ht="15.75" customHeight="1" x14ac:dyDescent="0.2">
      <c r="A416" s="68"/>
    </row>
    <row r="417" spans="1:1" ht="15.75" customHeight="1" x14ac:dyDescent="0.2">
      <c r="A417" s="68"/>
    </row>
    <row r="418" spans="1:1" ht="15.75" customHeight="1" x14ac:dyDescent="0.2">
      <c r="A418" s="68"/>
    </row>
    <row r="419" spans="1:1" ht="15.75" customHeight="1" x14ac:dyDescent="0.2">
      <c r="A419" s="68"/>
    </row>
    <row r="420" spans="1:1" ht="15.75" customHeight="1" x14ac:dyDescent="0.2">
      <c r="A420" s="68"/>
    </row>
    <row r="421" spans="1:1" ht="15.75" customHeight="1" x14ac:dyDescent="0.2">
      <c r="A421" s="68"/>
    </row>
    <row r="422" spans="1:1" ht="15.75" customHeight="1" x14ac:dyDescent="0.2">
      <c r="A422" s="68"/>
    </row>
    <row r="423" spans="1:1" ht="15.75" customHeight="1" x14ac:dyDescent="0.2">
      <c r="A423" s="68"/>
    </row>
    <row r="424" spans="1:1" ht="15.75" customHeight="1" x14ac:dyDescent="0.2">
      <c r="A424" s="68"/>
    </row>
    <row r="425" spans="1:1" ht="15.75" customHeight="1" x14ac:dyDescent="0.2">
      <c r="A425" s="68"/>
    </row>
    <row r="426" spans="1:1" ht="15.75" customHeight="1" x14ac:dyDescent="0.2">
      <c r="A426" s="68"/>
    </row>
    <row r="427" spans="1:1" ht="15.75" customHeight="1" x14ac:dyDescent="0.2">
      <c r="A427" s="68"/>
    </row>
    <row r="428" spans="1:1" ht="15.75" customHeight="1" x14ac:dyDescent="0.2">
      <c r="A428" s="68"/>
    </row>
    <row r="429" spans="1:1" ht="15.75" customHeight="1" x14ac:dyDescent="0.2">
      <c r="A429" s="68"/>
    </row>
    <row r="430" spans="1:1" ht="15.75" customHeight="1" x14ac:dyDescent="0.2">
      <c r="A430" s="68"/>
    </row>
    <row r="431" spans="1:1" ht="15.75" customHeight="1" x14ac:dyDescent="0.2">
      <c r="A431" s="68"/>
    </row>
    <row r="432" spans="1:1" ht="15.75" customHeight="1" x14ac:dyDescent="0.2">
      <c r="A432" s="68"/>
    </row>
    <row r="433" spans="1:1" ht="15.75" customHeight="1" x14ac:dyDescent="0.2">
      <c r="A433" s="68"/>
    </row>
    <row r="434" spans="1:1" ht="15.75" customHeight="1" x14ac:dyDescent="0.2">
      <c r="A434" s="68"/>
    </row>
    <row r="435" spans="1:1" ht="15.75" customHeight="1" x14ac:dyDescent="0.2">
      <c r="A435" s="68"/>
    </row>
    <row r="436" spans="1:1" ht="15.75" customHeight="1" x14ac:dyDescent="0.2">
      <c r="A436" s="68"/>
    </row>
    <row r="437" spans="1:1" ht="15.75" customHeight="1" x14ac:dyDescent="0.2">
      <c r="A437" s="68"/>
    </row>
    <row r="438" spans="1:1" ht="15.75" customHeight="1" x14ac:dyDescent="0.2">
      <c r="A438" s="68"/>
    </row>
    <row r="439" spans="1:1" ht="15.75" customHeight="1" x14ac:dyDescent="0.2">
      <c r="A439" s="68"/>
    </row>
    <row r="440" spans="1:1" ht="15.75" customHeight="1" x14ac:dyDescent="0.2">
      <c r="A440" s="68"/>
    </row>
    <row r="441" spans="1:1" ht="15.75" customHeight="1" x14ac:dyDescent="0.2">
      <c r="A441" s="68"/>
    </row>
    <row r="442" spans="1:1" ht="15.75" customHeight="1" x14ac:dyDescent="0.2">
      <c r="A442" s="68"/>
    </row>
    <row r="443" spans="1:1" ht="15.75" customHeight="1" x14ac:dyDescent="0.2">
      <c r="A443" s="68"/>
    </row>
    <row r="444" spans="1:1" ht="15.75" customHeight="1" x14ac:dyDescent="0.2">
      <c r="A444" s="68"/>
    </row>
    <row r="445" spans="1:1" ht="15.75" customHeight="1" x14ac:dyDescent="0.2">
      <c r="A445" s="68"/>
    </row>
    <row r="446" spans="1:1" ht="15.75" customHeight="1" x14ac:dyDescent="0.2">
      <c r="A446" s="68"/>
    </row>
    <row r="447" spans="1:1" ht="15.75" customHeight="1" x14ac:dyDescent="0.2">
      <c r="A447" s="68"/>
    </row>
    <row r="448" spans="1:1" ht="15.75" customHeight="1" x14ac:dyDescent="0.2">
      <c r="A448" s="68"/>
    </row>
    <row r="449" spans="1:1" ht="15.75" customHeight="1" x14ac:dyDescent="0.2">
      <c r="A449" s="68"/>
    </row>
    <row r="450" spans="1:1" ht="15.75" customHeight="1" x14ac:dyDescent="0.2">
      <c r="A450" s="68"/>
    </row>
    <row r="451" spans="1:1" ht="15.75" customHeight="1" x14ac:dyDescent="0.2">
      <c r="A451" s="68"/>
    </row>
    <row r="452" spans="1:1" ht="15.75" customHeight="1" x14ac:dyDescent="0.2">
      <c r="A452" s="68"/>
    </row>
    <row r="453" spans="1:1" ht="15.75" customHeight="1" x14ac:dyDescent="0.2">
      <c r="A453" s="68"/>
    </row>
    <row r="454" spans="1:1" ht="15.75" customHeight="1" x14ac:dyDescent="0.2">
      <c r="A454" s="68"/>
    </row>
    <row r="455" spans="1:1" ht="15.75" customHeight="1" x14ac:dyDescent="0.2">
      <c r="A455" s="68"/>
    </row>
    <row r="456" spans="1:1" ht="15.75" customHeight="1" x14ac:dyDescent="0.2">
      <c r="A456" s="68"/>
    </row>
    <row r="457" spans="1:1" ht="15.75" customHeight="1" x14ac:dyDescent="0.2">
      <c r="A457" s="68"/>
    </row>
    <row r="458" spans="1:1" ht="15.75" customHeight="1" x14ac:dyDescent="0.2">
      <c r="A458" s="68"/>
    </row>
    <row r="459" spans="1:1" ht="15.75" customHeight="1" x14ac:dyDescent="0.2">
      <c r="A459" s="68"/>
    </row>
    <row r="460" spans="1:1" ht="15.75" customHeight="1" x14ac:dyDescent="0.2">
      <c r="A460" s="68"/>
    </row>
    <row r="461" spans="1:1" ht="15.75" customHeight="1" x14ac:dyDescent="0.2">
      <c r="A461" s="68"/>
    </row>
    <row r="462" spans="1:1" ht="15.75" customHeight="1" x14ac:dyDescent="0.2">
      <c r="A462" s="68"/>
    </row>
    <row r="463" spans="1:1" ht="15.75" customHeight="1" x14ac:dyDescent="0.2">
      <c r="A463" s="68"/>
    </row>
    <row r="464" spans="1:1" ht="15.75" customHeight="1" x14ac:dyDescent="0.2">
      <c r="A464" s="68"/>
    </row>
    <row r="465" spans="1:1" ht="15.75" customHeight="1" x14ac:dyDescent="0.2">
      <c r="A465" s="68"/>
    </row>
    <row r="466" spans="1:1" ht="15.75" customHeight="1" x14ac:dyDescent="0.2">
      <c r="A466" s="68"/>
    </row>
    <row r="467" spans="1:1" ht="15.75" customHeight="1" x14ac:dyDescent="0.2">
      <c r="A467" s="68"/>
    </row>
    <row r="468" spans="1:1" ht="15.75" customHeight="1" x14ac:dyDescent="0.2">
      <c r="A468" s="68"/>
    </row>
    <row r="469" spans="1:1" ht="15.75" customHeight="1" x14ac:dyDescent="0.2">
      <c r="A469" s="68"/>
    </row>
    <row r="470" spans="1:1" ht="15.75" customHeight="1" x14ac:dyDescent="0.2">
      <c r="A470" s="68"/>
    </row>
    <row r="471" spans="1:1" ht="15.75" customHeight="1" x14ac:dyDescent="0.2">
      <c r="A471" s="68"/>
    </row>
    <row r="472" spans="1:1" ht="15.75" customHeight="1" x14ac:dyDescent="0.2">
      <c r="A472" s="68"/>
    </row>
    <row r="473" spans="1:1" ht="15.75" customHeight="1" x14ac:dyDescent="0.2">
      <c r="A473" s="68"/>
    </row>
    <row r="474" spans="1:1" ht="15.75" customHeight="1" x14ac:dyDescent="0.2">
      <c r="A474" s="68"/>
    </row>
    <row r="475" spans="1:1" ht="15.75" customHeight="1" x14ac:dyDescent="0.2">
      <c r="A475" s="68"/>
    </row>
    <row r="476" spans="1:1" ht="15.75" customHeight="1" x14ac:dyDescent="0.2">
      <c r="A476" s="68"/>
    </row>
    <row r="477" spans="1:1" ht="15.75" customHeight="1" x14ac:dyDescent="0.2">
      <c r="A477" s="68"/>
    </row>
    <row r="478" spans="1:1" ht="15.75" customHeight="1" x14ac:dyDescent="0.2">
      <c r="A478" s="68"/>
    </row>
    <row r="479" spans="1:1" ht="15.75" customHeight="1" x14ac:dyDescent="0.2">
      <c r="A479" s="68"/>
    </row>
    <row r="480" spans="1:1" ht="15.75" customHeight="1" x14ac:dyDescent="0.2">
      <c r="A480" s="68"/>
    </row>
    <row r="481" spans="1:1" ht="15.75" customHeight="1" x14ac:dyDescent="0.2">
      <c r="A481" s="68"/>
    </row>
    <row r="482" spans="1:1" ht="15.75" customHeight="1" x14ac:dyDescent="0.2">
      <c r="A482" s="68"/>
    </row>
    <row r="483" spans="1:1" ht="15.75" customHeight="1" x14ac:dyDescent="0.2">
      <c r="A483" s="68"/>
    </row>
    <row r="484" spans="1:1" ht="15.75" customHeight="1" x14ac:dyDescent="0.2">
      <c r="A484" s="68"/>
    </row>
    <row r="485" spans="1:1" ht="15.75" customHeight="1" x14ac:dyDescent="0.2">
      <c r="A485" s="68"/>
    </row>
    <row r="486" spans="1:1" ht="15.75" customHeight="1" x14ac:dyDescent="0.2">
      <c r="A486" s="68"/>
    </row>
    <row r="487" spans="1:1" ht="15.75" customHeight="1" x14ac:dyDescent="0.2">
      <c r="A487" s="68"/>
    </row>
    <row r="488" spans="1:1" ht="15.75" customHeight="1" x14ac:dyDescent="0.2">
      <c r="A488" s="68"/>
    </row>
    <row r="489" spans="1:1" ht="15.75" customHeight="1" x14ac:dyDescent="0.2">
      <c r="A489" s="68"/>
    </row>
    <row r="490" spans="1:1" ht="15.75" customHeight="1" x14ac:dyDescent="0.2">
      <c r="A490" s="68"/>
    </row>
    <row r="491" spans="1:1" ht="15.75" customHeight="1" x14ac:dyDescent="0.2">
      <c r="A491" s="68"/>
    </row>
    <row r="492" spans="1:1" ht="15.75" customHeight="1" x14ac:dyDescent="0.2">
      <c r="A492" s="68"/>
    </row>
    <row r="493" spans="1:1" ht="15.75" customHeight="1" x14ac:dyDescent="0.2">
      <c r="A493" s="68"/>
    </row>
    <row r="494" spans="1:1" ht="15.75" customHeight="1" x14ac:dyDescent="0.2">
      <c r="A494" s="68"/>
    </row>
    <row r="495" spans="1:1" ht="15.75" customHeight="1" x14ac:dyDescent="0.2">
      <c r="A495" s="68"/>
    </row>
    <row r="496" spans="1:1" ht="15.75" customHeight="1" x14ac:dyDescent="0.2">
      <c r="A496" s="68"/>
    </row>
    <row r="497" spans="1:1" ht="15.75" customHeight="1" x14ac:dyDescent="0.2">
      <c r="A497" s="68"/>
    </row>
    <row r="498" spans="1:1" ht="15.75" customHeight="1" x14ac:dyDescent="0.2">
      <c r="A498" s="68"/>
    </row>
    <row r="499" spans="1:1" ht="15.75" customHeight="1" x14ac:dyDescent="0.2">
      <c r="A499" s="68"/>
    </row>
    <row r="500" spans="1:1" ht="15.75" customHeight="1" x14ac:dyDescent="0.2">
      <c r="A500" s="68"/>
    </row>
    <row r="501" spans="1:1" ht="15.75" customHeight="1" x14ac:dyDescent="0.2">
      <c r="A501" s="68"/>
    </row>
    <row r="502" spans="1:1" ht="15.75" customHeight="1" x14ac:dyDescent="0.2">
      <c r="A502" s="68"/>
    </row>
    <row r="503" spans="1:1" ht="15.75" customHeight="1" x14ac:dyDescent="0.2">
      <c r="A503" s="68"/>
    </row>
    <row r="504" spans="1:1" ht="15.75" customHeight="1" x14ac:dyDescent="0.2">
      <c r="A504" s="68"/>
    </row>
    <row r="505" spans="1:1" ht="15.75" customHeight="1" x14ac:dyDescent="0.2">
      <c r="A505" s="68"/>
    </row>
    <row r="506" spans="1:1" ht="15.75" customHeight="1" x14ac:dyDescent="0.2">
      <c r="A506" s="68"/>
    </row>
    <row r="507" spans="1:1" ht="15.75" customHeight="1" x14ac:dyDescent="0.2">
      <c r="A507" s="68"/>
    </row>
    <row r="508" spans="1:1" ht="15.75" customHeight="1" x14ac:dyDescent="0.2">
      <c r="A508" s="68"/>
    </row>
    <row r="509" spans="1:1" ht="15.75" customHeight="1" x14ac:dyDescent="0.2">
      <c r="A509" s="68"/>
    </row>
    <row r="510" spans="1:1" ht="15.75" customHeight="1" x14ac:dyDescent="0.2">
      <c r="A510" s="68"/>
    </row>
    <row r="511" spans="1:1" ht="15.75" customHeight="1" x14ac:dyDescent="0.2">
      <c r="A511" s="68"/>
    </row>
    <row r="512" spans="1:1" ht="15.75" customHeight="1" x14ac:dyDescent="0.2">
      <c r="A512" s="68"/>
    </row>
    <row r="513" spans="1:1" ht="15.75" customHeight="1" x14ac:dyDescent="0.2">
      <c r="A513" s="68"/>
    </row>
    <row r="514" spans="1:1" ht="15.75" customHeight="1" x14ac:dyDescent="0.2">
      <c r="A514" s="68"/>
    </row>
    <row r="515" spans="1:1" ht="15.75" customHeight="1" x14ac:dyDescent="0.2">
      <c r="A515" s="68"/>
    </row>
    <row r="516" spans="1:1" ht="15.75" customHeight="1" x14ac:dyDescent="0.2">
      <c r="A516" s="68"/>
    </row>
    <row r="517" spans="1:1" ht="15.75" customHeight="1" x14ac:dyDescent="0.2">
      <c r="A517" s="68"/>
    </row>
    <row r="518" spans="1:1" ht="15.75" customHeight="1" x14ac:dyDescent="0.2">
      <c r="A518" s="68"/>
    </row>
    <row r="519" spans="1:1" ht="15.75" customHeight="1" x14ac:dyDescent="0.2">
      <c r="A519" s="68"/>
    </row>
    <row r="520" spans="1:1" ht="15.75" customHeight="1" x14ac:dyDescent="0.2">
      <c r="A520" s="68"/>
    </row>
    <row r="521" spans="1:1" ht="15.75" customHeight="1" x14ac:dyDescent="0.2">
      <c r="A521" s="68"/>
    </row>
    <row r="522" spans="1:1" ht="15.75" customHeight="1" x14ac:dyDescent="0.2">
      <c r="A522" s="68"/>
    </row>
    <row r="523" spans="1:1" ht="15.75" customHeight="1" x14ac:dyDescent="0.2">
      <c r="A523" s="68"/>
    </row>
    <row r="524" spans="1:1" ht="15.75" customHeight="1" x14ac:dyDescent="0.2">
      <c r="A524" s="68"/>
    </row>
    <row r="525" spans="1:1" ht="15.75" customHeight="1" x14ac:dyDescent="0.2">
      <c r="A525" s="68"/>
    </row>
    <row r="526" spans="1:1" ht="15.75" customHeight="1" x14ac:dyDescent="0.2">
      <c r="A526" s="68"/>
    </row>
    <row r="527" spans="1:1" ht="15.75" customHeight="1" x14ac:dyDescent="0.2">
      <c r="A527" s="68"/>
    </row>
    <row r="528" spans="1:1" ht="15.75" customHeight="1" x14ac:dyDescent="0.2">
      <c r="A528" s="68"/>
    </row>
    <row r="529" spans="1:1" ht="15.75" customHeight="1" x14ac:dyDescent="0.2">
      <c r="A529" s="68"/>
    </row>
    <row r="530" spans="1:1" ht="15.75" customHeight="1" x14ac:dyDescent="0.2">
      <c r="A530" s="68"/>
    </row>
    <row r="531" spans="1:1" ht="15.75" customHeight="1" x14ac:dyDescent="0.2">
      <c r="A531" s="68"/>
    </row>
    <row r="532" spans="1:1" ht="15.75" customHeight="1" x14ac:dyDescent="0.2">
      <c r="A532" s="68"/>
    </row>
    <row r="533" spans="1:1" ht="15.75" customHeight="1" x14ac:dyDescent="0.2">
      <c r="A533" s="68"/>
    </row>
    <row r="534" spans="1:1" ht="15.75" customHeight="1" x14ac:dyDescent="0.2">
      <c r="A534" s="68"/>
    </row>
    <row r="535" spans="1:1" ht="15.75" customHeight="1" x14ac:dyDescent="0.2">
      <c r="A535" s="68"/>
    </row>
    <row r="536" spans="1:1" ht="15.75" customHeight="1" x14ac:dyDescent="0.2">
      <c r="A536" s="68"/>
    </row>
    <row r="537" spans="1:1" ht="15.75" customHeight="1" x14ac:dyDescent="0.2">
      <c r="A537" s="68"/>
    </row>
    <row r="538" spans="1:1" ht="15.75" customHeight="1" x14ac:dyDescent="0.2">
      <c r="A538" s="68"/>
    </row>
    <row r="539" spans="1:1" ht="15.75" customHeight="1" x14ac:dyDescent="0.2">
      <c r="A539" s="68"/>
    </row>
    <row r="540" spans="1:1" ht="15.75" customHeight="1" x14ac:dyDescent="0.2">
      <c r="A540" s="68"/>
    </row>
    <row r="541" spans="1:1" ht="15.75" customHeight="1" x14ac:dyDescent="0.2">
      <c r="A541" s="68"/>
    </row>
    <row r="542" spans="1:1" ht="15.75" customHeight="1" x14ac:dyDescent="0.2">
      <c r="A542" s="68"/>
    </row>
    <row r="543" spans="1:1" ht="15.75" customHeight="1" x14ac:dyDescent="0.2">
      <c r="A543" s="68"/>
    </row>
    <row r="544" spans="1:1" ht="15.75" customHeight="1" x14ac:dyDescent="0.2">
      <c r="A544" s="68"/>
    </row>
    <row r="545" spans="1:1" ht="15.75" customHeight="1" x14ac:dyDescent="0.2">
      <c r="A545" s="68"/>
    </row>
    <row r="546" spans="1:1" ht="15.75" customHeight="1" x14ac:dyDescent="0.2">
      <c r="A546" s="68"/>
    </row>
    <row r="547" spans="1:1" ht="15.75" customHeight="1" x14ac:dyDescent="0.2">
      <c r="A547" s="68"/>
    </row>
    <row r="548" spans="1:1" ht="15.75" customHeight="1" x14ac:dyDescent="0.2">
      <c r="A548" s="68"/>
    </row>
    <row r="549" spans="1:1" ht="15.75" customHeight="1" x14ac:dyDescent="0.2">
      <c r="A549" s="68"/>
    </row>
    <row r="550" spans="1:1" ht="15.75" customHeight="1" x14ac:dyDescent="0.2">
      <c r="A550" s="68"/>
    </row>
    <row r="551" spans="1:1" ht="15.75" customHeight="1" x14ac:dyDescent="0.2">
      <c r="A551" s="68"/>
    </row>
    <row r="552" spans="1:1" ht="15.75" customHeight="1" x14ac:dyDescent="0.2">
      <c r="A552" s="68"/>
    </row>
    <row r="553" spans="1:1" ht="15.75" customHeight="1" x14ac:dyDescent="0.2">
      <c r="A553" s="68"/>
    </row>
    <row r="554" spans="1:1" ht="15.75" customHeight="1" x14ac:dyDescent="0.2">
      <c r="A554" s="68"/>
    </row>
    <row r="555" spans="1:1" ht="15.75" customHeight="1" x14ac:dyDescent="0.2">
      <c r="A555" s="68"/>
    </row>
    <row r="556" spans="1:1" ht="15.75" customHeight="1" x14ac:dyDescent="0.2">
      <c r="A556" s="68"/>
    </row>
    <row r="557" spans="1:1" ht="15.75" customHeight="1" x14ac:dyDescent="0.2">
      <c r="A557" s="68"/>
    </row>
    <row r="558" spans="1:1" ht="15.75" customHeight="1" x14ac:dyDescent="0.2">
      <c r="A558" s="68"/>
    </row>
    <row r="559" spans="1:1" ht="15.75" customHeight="1" x14ac:dyDescent="0.2">
      <c r="A559" s="68"/>
    </row>
    <row r="560" spans="1:1" ht="15.75" customHeight="1" x14ac:dyDescent="0.2">
      <c r="A560" s="68"/>
    </row>
    <row r="561" spans="1:1" ht="15.75" customHeight="1" x14ac:dyDescent="0.2">
      <c r="A561" s="68"/>
    </row>
    <row r="562" spans="1:1" ht="15.75" customHeight="1" x14ac:dyDescent="0.2">
      <c r="A562" s="68"/>
    </row>
    <row r="563" spans="1:1" ht="15.75" customHeight="1" x14ac:dyDescent="0.2">
      <c r="A563" s="68"/>
    </row>
    <row r="564" spans="1:1" ht="15.75" customHeight="1" x14ac:dyDescent="0.2">
      <c r="A564" s="68"/>
    </row>
    <row r="565" spans="1:1" ht="15.75" customHeight="1" x14ac:dyDescent="0.2">
      <c r="A565" s="68"/>
    </row>
    <row r="566" spans="1:1" ht="15.75" customHeight="1" x14ac:dyDescent="0.2">
      <c r="A566" s="68"/>
    </row>
    <row r="567" spans="1:1" ht="15.75" customHeight="1" x14ac:dyDescent="0.2">
      <c r="A567" s="68"/>
    </row>
    <row r="568" spans="1:1" ht="15.75" customHeight="1" x14ac:dyDescent="0.2">
      <c r="A568" s="68"/>
    </row>
    <row r="569" spans="1:1" ht="15.75" customHeight="1" x14ac:dyDescent="0.2">
      <c r="A569" s="68"/>
    </row>
    <row r="570" spans="1:1" ht="15.75" customHeight="1" x14ac:dyDescent="0.2">
      <c r="A570" s="68"/>
    </row>
    <row r="571" spans="1:1" ht="15.75" customHeight="1" x14ac:dyDescent="0.2">
      <c r="A571" s="68"/>
    </row>
    <row r="572" spans="1:1" ht="15.75" customHeight="1" x14ac:dyDescent="0.2">
      <c r="A572" s="68"/>
    </row>
    <row r="573" spans="1:1" ht="15.75" customHeight="1" x14ac:dyDescent="0.2">
      <c r="A573" s="68"/>
    </row>
    <row r="574" spans="1:1" ht="15.75" customHeight="1" x14ac:dyDescent="0.2">
      <c r="A574" s="68"/>
    </row>
    <row r="575" spans="1:1" ht="15.75" customHeight="1" x14ac:dyDescent="0.2">
      <c r="A575" s="68"/>
    </row>
    <row r="576" spans="1:1" ht="15.75" customHeight="1" x14ac:dyDescent="0.2">
      <c r="A576" s="68"/>
    </row>
    <row r="577" spans="1:1" ht="15.75" customHeight="1" x14ac:dyDescent="0.2">
      <c r="A577" s="68"/>
    </row>
    <row r="578" spans="1:1" ht="15.75" customHeight="1" x14ac:dyDescent="0.2">
      <c r="A578" s="68"/>
    </row>
    <row r="579" spans="1:1" ht="15.75" customHeight="1" x14ac:dyDescent="0.2">
      <c r="A579" s="68"/>
    </row>
    <row r="580" spans="1:1" ht="15.75" customHeight="1" x14ac:dyDescent="0.2">
      <c r="A580" s="68"/>
    </row>
    <row r="581" spans="1:1" ht="15.75" customHeight="1" x14ac:dyDescent="0.2">
      <c r="A581" s="68"/>
    </row>
    <row r="582" spans="1:1" ht="15.75" customHeight="1" x14ac:dyDescent="0.2">
      <c r="A582" s="68"/>
    </row>
    <row r="583" spans="1:1" ht="15.75" customHeight="1" x14ac:dyDescent="0.2">
      <c r="A583" s="68"/>
    </row>
    <row r="584" spans="1:1" ht="15.75" customHeight="1" x14ac:dyDescent="0.2">
      <c r="A584" s="68"/>
    </row>
    <row r="585" spans="1:1" ht="15.75" customHeight="1" x14ac:dyDescent="0.2">
      <c r="A585" s="68"/>
    </row>
    <row r="586" spans="1:1" ht="15.75" customHeight="1" x14ac:dyDescent="0.2">
      <c r="A586" s="68"/>
    </row>
    <row r="587" spans="1:1" ht="15.75" customHeight="1" x14ac:dyDescent="0.2">
      <c r="A587" s="68"/>
    </row>
    <row r="588" spans="1:1" ht="15.75" customHeight="1" x14ac:dyDescent="0.2">
      <c r="A588" s="68"/>
    </row>
    <row r="589" spans="1:1" ht="15.75" customHeight="1" x14ac:dyDescent="0.2">
      <c r="A589" s="68"/>
    </row>
    <row r="590" spans="1:1" ht="15.75" customHeight="1" x14ac:dyDescent="0.2">
      <c r="A590" s="68"/>
    </row>
    <row r="591" spans="1:1" ht="15.75" customHeight="1" x14ac:dyDescent="0.2">
      <c r="A591" s="68"/>
    </row>
    <row r="592" spans="1:1" ht="15.75" customHeight="1" x14ac:dyDescent="0.2">
      <c r="A592" s="68"/>
    </row>
    <row r="593" spans="1:1" ht="15.75" customHeight="1" x14ac:dyDescent="0.2">
      <c r="A593" s="68"/>
    </row>
    <row r="594" spans="1:1" ht="15.75" customHeight="1" x14ac:dyDescent="0.2">
      <c r="A594" s="68"/>
    </row>
    <row r="595" spans="1:1" ht="15.75" customHeight="1" x14ac:dyDescent="0.2">
      <c r="A595" s="68"/>
    </row>
    <row r="596" spans="1:1" ht="15.75" customHeight="1" x14ac:dyDescent="0.2">
      <c r="A596" s="68"/>
    </row>
    <row r="597" spans="1:1" ht="15.75" customHeight="1" x14ac:dyDescent="0.2">
      <c r="A597" s="68"/>
    </row>
    <row r="598" spans="1:1" ht="15.75" customHeight="1" x14ac:dyDescent="0.2">
      <c r="A598" s="68"/>
    </row>
    <row r="599" spans="1:1" ht="15.75" customHeight="1" x14ac:dyDescent="0.2">
      <c r="A599" s="68"/>
    </row>
    <row r="600" spans="1:1" ht="15.75" customHeight="1" x14ac:dyDescent="0.2">
      <c r="A600" s="68"/>
    </row>
    <row r="601" spans="1:1" ht="15.75" customHeight="1" x14ac:dyDescent="0.2">
      <c r="A601" s="68"/>
    </row>
    <row r="602" spans="1:1" ht="15.75" customHeight="1" x14ac:dyDescent="0.2">
      <c r="A602" s="68"/>
    </row>
    <row r="603" spans="1:1" ht="15.75" customHeight="1" x14ac:dyDescent="0.2">
      <c r="A603" s="68"/>
    </row>
    <row r="604" spans="1:1" ht="15.75" customHeight="1" x14ac:dyDescent="0.2">
      <c r="A604" s="68"/>
    </row>
    <row r="605" spans="1:1" ht="15.75" customHeight="1" x14ac:dyDescent="0.2">
      <c r="A605" s="68"/>
    </row>
    <row r="606" spans="1:1" ht="15.75" customHeight="1" x14ac:dyDescent="0.2">
      <c r="A606" s="68"/>
    </row>
    <row r="607" spans="1:1" ht="15.75" customHeight="1" x14ac:dyDescent="0.2">
      <c r="A607" s="68"/>
    </row>
    <row r="608" spans="1:1" ht="15.75" customHeight="1" x14ac:dyDescent="0.2">
      <c r="A608" s="68"/>
    </row>
    <row r="609" spans="1:1" ht="15.75" customHeight="1" x14ac:dyDescent="0.2">
      <c r="A609" s="68"/>
    </row>
    <row r="610" spans="1:1" ht="15.75" customHeight="1" x14ac:dyDescent="0.2">
      <c r="A610" s="68"/>
    </row>
    <row r="611" spans="1:1" ht="15.75" customHeight="1" x14ac:dyDescent="0.2">
      <c r="A611" s="68"/>
    </row>
    <row r="612" spans="1:1" ht="15.75" customHeight="1" x14ac:dyDescent="0.2">
      <c r="A612" s="68"/>
    </row>
    <row r="613" spans="1:1" ht="15.75" customHeight="1" x14ac:dyDescent="0.2">
      <c r="A613" s="68"/>
    </row>
    <row r="614" spans="1:1" ht="15.75" customHeight="1" x14ac:dyDescent="0.2">
      <c r="A614" s="68"/>
    </row>
    <row r="615" spans="1:1" ht="15.75" customHeight="1" x14ac:dyDescent="0.2">
      <c r="A615" s="68"/>
    </row>
    <row r="616" spans="1:1" ht="15.75" customHeight="1" x14ac:dyDescent="0.2">
      <c r="A616" s="68"/>
    </row>
    <row r="617" spans="1:1" ht="15.75" customHeight="1" x14ac:dyDescent="0.2">
      <c r="A617" s="68"/>
    </row>
    <row r="618" spans="1:1" ht="15.75" customHeight="1" x14ac:dyDescent="0.2">
      <c r="A618" s="68"/>
    </row>
    <row r="619" spans="1:1" ht="15.75" customHeight="1" x14ac:dyDescent="0.2">
      <c r="A619" s="68"/>
    </row>
    <row r="620" spans="1:1" ht="15.75" customHeight="1" x14ac:dyDescent="0.2">
      <c r="A620" s="68"/>
    </row>
    <row r="621" spans="1:1" ht="15.75" customHeight="1" x14ac:dyDescent="0.2">
      <c r="A621" s="68"/>
    </row>
    <row r="622" spans="1:1" ht="15.75" customHeight="1" x14ac:dyDescent="0.2">
      <c r="A622" s="68"/>
    </row>
    <row r="623" spans="1:1" ht="15.75" customHeight="1" x14ac:dyDescent="0.2">
      <c r="A623" s="68"/>
    </row>
    <row r="624" spans="1:1" ht="15.75" customHeight="1" x14ac:dyDescent="0.2">
      <c r="A624" s="68"/>
    </row>
    <row r="625" spans="1:1" ht="15.75" customHeight="1" x14ac:dyDescent="0.2">
      <c r="A625" s="68"/>
    </row>
    <row r="626" spans="1:1" ht="15.75" customHeight="1" x14ac:dyDescent="0.2">
      <c r="A626" s="68"/>
    </row>
    <row r="627" spans="1:1" ht="15.75" customHeight="1" x14ac:dyDescent="0.2">
      <c r="A627" s="68"/>
    </row>
    <row r="628" spans="1:1" ht="15.75" customHeight="1" x14ac:dyDescent="0.2">
      <c r="A628" s="68"/>
    </row>
    <row r="629" spans="1:1" ht="15.75" customHeight="1" x14ac:dyDescent="0.2">
      <c r="A629" s="68"/>
    </row>
    <row r="630" spans="1:1" ht="15.75" customHeight="1" x14ac:dyDescent="0.2">
      <c r="A630" s="68"/>
    </row>
    <row r="631" spans="1:1" ht="15.75" customHeight="1" x14ac:dyDescent="0.2">
      <c r="A631" s="68"/>
    </row>
    <row r="632" spans="1:1" ht="15.75" customHeight="1" x14ac:dyDescent="0.2">
      <c r="A632" s="68"/>
    </row>
    <row r="633" spans="1:1" ht="15.75" customHeight="1" x14ac:dyDescent="0.2">
      <c r="A633" s="68"/>
    </row>
    <row r="634" spans="1:1" ht="15.75" customHeight="1" x14ac:dyDescent="0.2">
      <c r="A634" s="68"/>
    </row>
    <row r="635" spans="1:1" ht="15.75" customHeight="1" x14ac:dyDescent="0.2">
      <c r="A635" s="68"/>
    </row>
    <row r="636" spans="1:1" ht="15.75" customHeight="1" x14ac:dyDescent="0.2">
      <c r="A636" s="68"/>
    </row>
    <row r="637" spans="1:1" ht="15.75" customHeight="1" x14ac:dyDescent="0.2">
      <c r="A637" s="68"/>
    </row>
    <row r="638" spans="1:1" ht="15.75" customHeight="1" x14ac:dyDescent="0.2">
      <c r="A638" s="68"/>
    </row>
    <row r="639" spans="1:1" ht="15.75" customHeight="1" x14ac:dyDescent="0.2">
      <c r="A639" s="68"/>
    </row>
    <row r="640" spans="1:1" ht="15.75" customHeight="1" x14ac:dyDescent="0.2">
      <c r="A640" s="68"/>
    </row>
    <row r="641" spans="1:1" ht="15.75" customHeight="1" x14ac:dyDescent="0.2">
      <c r="A641" s="68"/>
    </row>
    <row r="642" spans="1:1" ht="15.75" customHeight="1" x14ac:dyDescent="0.2">
      <c r="A642" s="68"/>
    </row>
    <row r="643" spans="1:1" ht="15.75" customHeight="1" x14ac:dyDescent="0.2">
      <c r="A643" s="68"/>
    </row>
    <row r="644" spans="1:1" ht="15.75" customHeight="1" x14ac:dyDescent="0.2">
      <c r="A644" s="68"/>
    </row>
    <row r="645" spans="1:1" ht="15.75" customHeight="1" x14ac:dyDescent="0.2">
      <c r="A645" s="68"/>
    </row>
    <row r="646" spans="1:1" ht="15.75" customHeight="1" x14ac:dyDescent="0.2">
      <c r="A646" s="68"/>
    </row>
    <row r="647" spans="1:1" ht="15.75" customHeight="1" x14ac:dyDescent="0.2">
      <c r="A647" s="68"/>
    </row>
    <row r="648" spans="1:1" ht="15.75" customHeight="1" x14ac:dyDescent="0.2">
      <c r="A648" s="68"/>
    </row>
    <row r="649" spans="1:1" ht="15.75" customHeight="1" x14ac:dyDescent="0.2">
      <c r="A649" s="68"/>
    </row>
    <row r="650" spans="1:1" ht="15.75" customHeight="1" x14ac:dyDescent="0.2">
      <c r="A650" s="68"/>
    </row>
    <row r="651" spans="1:1" ht="15.75" customHeight="1" x14ac:dyDescent="0.2">
      <c r="A651" s="68"/>
    </row>
    <row r="652" spans="1:1" ht="15.75" customHeight="1" x14ac:dyDescent="0.2">
      <c r="A652" s="68"/>
    </row>
    <row r="653" spans="1:1" ht="15.75" customHeight="1" x14ac:dyDescent="0.2">
      <c r="A653" s="68"/>
    </row>
    <row r="654" spans="1:1" ht="15.75" customHeight="1" x14ac:dyDescent="0.2">
      <c r="A654" s="68"/>
    </row>
    <row r="655" spans="1:1" ht="15.75" customHeight="1" x14ac:dyDescent="0.2">
      <c r="A655" s="68"/>
    </row>
    <row r="656" spans="1:1" ht="15.75" customHeight="1" x14ac:dyDescent="0.2">
      <c r="A656" s="68"/>
    </row>
    <row r="657" spans="1:1" ht="15.75" customHeight="1" x14ac:dyDescent="0.2">
      <c r="A657" s="68"/>
    </row>
    <row r="658" spans="1:1" ht="15.75" customHeight="1" x14ac:dyDescent="0.2">
      <c r="A658" s="68"/>
    </row>
    <row r="659" spans="1:1" ht="15.75" customHeight="1" x14ac:dyDescent="0.2">
      <c r="A659" s="68"/>
    </row>
    <row r="660" spans="1:1" ht="15.75" customHeight="1" x14ac:dyDescent="0.2">
      <c r="A660" s="68"/>
    </row>
    <row r="661" spans="1:1" ht="15.75" customHeight="1" x14ac:dyDescent="0.2">
      <c r="A661" s="68"/>
    </row>
    <row r="662" spans="1:1" ht="15.75" customHeight="1" x14ac:dyDescent="0.2">
      <c r="A662" s="68"/>
    </row>
    <row r="663" spans="1:1" ht="15.75" customHeight="1" x14ac:dyDescent="0.2">
      <c r="A663" s="68"/>
    </row>
    <row r="664" spans="1:1" ht="15.75" customHeight="1" x14ac:dyDescent="0.2">
      <c r="A664" s="68"/>
    </row>
    <row r="665" spans="1:1" ht="15.75" customHeight="1" x14ac:dyDescent="0.2">
      <c r="A665" s="68"/>
    </row>
    <row r="666" spans="1:1" ht="15.75" customHeight="1" x14ac:dyDescent="0.2">
      <c r="A666" s="68"/>
    </row>
    <row r="667" spans="1:1" ht="15.75" customHeight="1" x14ac:dyDescent="0.2">
      <c r="A667" s="68"/>
    </row>
    <row r="668" spans="1:1" ht="15.75" customHeight="1" x14ac:dyDescent="0.2">
      <c r="A668" s="68"/>
    </row>
    <row r="669" spans="1:1" ht="15.75" customHeight="1" x14ac:dyDescent="0.2">
      <c r="A669" s="68"/>
    </row>
    <row r="670" spans="1:1" ht="15.75" customHeight="1" x14ac:dyDescent="0.2">
      <c r="A670" s="68"/>
    </row>
    <row r="671" spans="1:1" ht="15.75" customHeight="1" x14ac:dyDescent="0.2">
      <c r="A671" s="68"/>
    </row>
    <row r="672" spans="1:1" ht="15.75" customHeight="1" x14ac:dyDescent="0.2">
      <c r="A672" s="68"/>
    </row>
    <row r="673" spans="1:1" ht="15.75" customHeight="1" x14ac:dyDescent="0.2">
      <c r="A673" s="68"/>
    </row>
    <row r="674" spans="1:1" ht="15.75" customHeight="1" x14ac:dyDescent="0.2">
      <c r="A674" s="68"/>
    </row>
    <row r="675" spans="1:1" ht="15.75" customHeight="1" x14ac:dyDescent="0.2">
      <c r="A675" s="68"/>
    </row>
    <row r="676" spans="1:1" ht="15.75" customHeight="1" x14ac:dyDescent="0.2">
      <c r="A676" s="68"/>
    </row>
    <row r="677" spans="1:1" ht="15.75" customHeight="1" x14ac:dyDescent="0.2">
      <c r="A677" s="68"/>
    </row>
    <row r="678" spans="1:1" ht="15.75" customHeight="1" x14ac:dyDescent="0.2">
      <c r="A678" s="68"/>
    </row>
    <row r="679" spans="1:1" ht="15.75" customHeight="1" x14ac:dyDescent="0.2">
      <c r="A679" s="68"/>
    </row>
    <row r="680" spans="1:1" ht="15.75" customHeight="1" x14ac:dyDescent="0.2">
      <c r="A680" s="68"/>
    </row>
    <row r="681" spans="1:1" ht="15.75" customHeight="1" x14ac:dyDescent="0.2">
      <c r="A681" s="68"/>
    </row>
    <row r="682" spans="1:1" ht="15.75" customHeight="1" x14ac:dyDescent="0.2">
      <c r="A682" s="68"/>
    </row>
    <row r="683" spans="1:1" ht="15.75" customHeight="1" x14ac:dyDescent="0.2">
      <c r="A683" s="68"/>
    </row>
    <row r="684" spans="1:1" ht="15.75" customHeight="1" x14ac:dyDescent="0.2">
      <c r="A684" s="68"/>
    </row>
    <row r="685" spans="1:1" ht="15.75" customHeight="1" x14ac:dyDescent="0.2">
      <c r="A685" s="68"/>
    </row>
    <row r="686" spans="1:1" ht="15.75" customHeight="1" x14ac:dyDescent="0.2">
      <c r="A686" s="68"/>
    </row>
    <row r="687" spans="1:1" ht="15.75" customHeight="1" x14ac:dyDescent="0.2">
      <c r="A687" s="68"/>
    </row>
    <row r="688" spans="1:1" ht="15.75" customHeight="1" x14ac:dyDescent="0.2">
      <c r="A688" s="68"/>
    </row>
    <row r="689" spans="1:1" ht="15.75" customHeight="1" x14ac:dyDescent="0.2">
      <c r="A689" s="68"/>
    </row>
    <row r="690" spans="1:1" ht="15.75" customHeight="1" x14ac:dyDescent="0.2">
      <c r="A690" s="68"/>
    </row>
    <row r="691" spans="1:1" ht="15.75" customHeight="1" x14ac:dyDescent="0.2">
      <c r="A691" s="68"/>
    </row>
    <row r="692" spans="1:1" ht="15.75" customHeight="1" x14ac:dyDescent="0.2">
      <c r="A692" s="68"/>
    </row>
    <row r="693" spans="1:1" ht="15.75" customHeight="1" x14ac:dyDescent="0.2">
      <c r="A693" s="68"/>
    </row>
    <row r="694" spans="1:1" ht="15.75" customHeight="1" x14ac:dyDescent="0.2">
      <c r="A694" s="68"/>
    </row>
    <row r="695" spans="1:1" ht="15.75" customHeight="1" x14ac:dyDescent="0.2">
      <c r="A695" s="68"/>
    </row>
    <row r="696" spans="1:1" ht="15.75" customHeight="1" x14ac:dyDescent="0.2">
      <c r="A696" s="68"/>
    </row>
    <row r="697" spans="1:1" ht="15.75" customHeight="1" x14ac:dyDescent="0.2">
      <c r="A697" s="68"/>
    </row>
    <row r="698" spans="1:1" ht="15.75" customHeight="1" x14ac:dyDescent="0.2">
      <c r="A698" s="68"/>
    </row>
    <row r="699" spans="1:1" ht="15.75" customHeight="1" x14ac:dyDescent="0.2">
      <c r="A699" s="68"/>
    </row>
    <row r="700" spans="1:1" ht="15.75" customHeight="1" x14ac:dyDescent="0.2">
      <c r="A700" s="68"/>
    </row>
    <row r="701" spans="1:1" ht="15.75" customHeight="1" x14ac:dyDescent="0.2">
      <c r="A701" s="68"/>
    </row>
    <row r="702" spans="1:1" ht="15.75" customHeight="1" x14ac:dyDescent="0.2">
      <c r="A702" s="68"/>
    </row>
    <row r="703" spans="1:1" ht="15.75" customHeight="1" x14ac:dyDescent="0.2">
      <c r="A703" s="68"/>
    </row>
    <row r="704" spans="1:1" ht="15.75" customHeight="1" x14ac:dyDescent="0.2">
      <c r="A704" s="68"/>
    </row>
    <row r="705" spans="1:1" ht="15.75" customHeight="1" x14ac:dyDescent="0.2">
      <c r="A705" s="68"/>
    </row>
    <row r="706" spans="1:1" ht="15.75" customHeight="1" x14ac:dyDescent="0.2">
      <c r="A706" s="68"/>
    </row>
    <row r="707" spans="1:1" ht="15.75" customHeight="1" x14ac:dyDescent="0.2">
      <c r="A707" s="68"/>
    </row>
    <row r="708" spans="1:1" ht="15.75" customHeight="1" x14ac:dyDescent="0.2">
      <c r="A708" s="68"/>
    </row>
    <row r="709" spans="1:1" ht="15.75" customHeight="1" x14ac:dyDescent="0.2">
      <c r="A709" s="68"/>
    </row>
    <row r="710" spans="1:1" ht="15.75" customHeight="1" x14ac:dyDescent="0.2">
      <c r="A710" s="68"/>
    </row>
    <row r="711" spans="1:1" ht="15.75" customHeight="1" x14ac:dyDescent="0.2">
      <c r="A711" s="68"/>
    </row>
    <row r="712" spans="1:1" ht="15.75" customHeight="1" x14ac:dyDescent="0.2">
      <c r="A712" s="68"/>
    </row>
    <row r="713" spans="1:1" ht="15.75" customHeight="1" x14ac:dyDescent="0.2">
      <c r="A713" s="68"/>
    </row>
    <row r="714" spans="1:1" ht="15.75" customHeight="1" x14ac:dyDescent="0.2">
      <c r="A714" s="68"/>
    </row>
    <row r="715" spans="1:1" ht="15.75" customHeight="1" x14ac:dyDescent="0.2">
      <c r="A715" s="68"/>
    </row>
    <row r="716" spans="1:1" ht="15.75" customHeight="1" x14ac:dyDescent="0.2">
      <c r="A716" s="68"/>
    </row>
    <row r="717" spans="1:1" ht="15.75" customHeight="1" x14ac:dyDescent="0.2">
      <c r="A717" s="68"/>
    </row>
    <row r="718" spans="1:1" ht="15.75" customHeight="1" x14ac:dyDescent="0.2">
      <c r="A718" s="68"/>
    </row>
    <row r="719" spans="1:1" ht="15.75" customHeight="1" x14ac:dyDescent="0.2">
      <c r="A719" s="68"/>
    </row>
    <row r="720" spans="1:1" ht="15.75" customHeight="1" x14ac:dyDescent="0.2">
      <c r="A720" s="68"/>
    </row>
    <row r="721" spans="1:1" ht="15.75" customHeight="1" x14ac:dyDescent="0.2">
      <c r="A721" s="68"/>
    </row>
    <row r="722" spans="1:1" ht="15.75" customHeight="1" x14ac:dyDescent="0.2">
      <c r="A722" s="68"/>
    </row>
    <row r="723" spans="1:1" ht="15.75" customHeight="1" x14ac:dyDescent="0.2">
      <c r="A723" s="68"/>
    </row>
    <row r="724" spans="1:1" ht="15.75" customHeight="1" x14ac:dyDescent="0.2">
      <c r="A724" s="68"/>
    </row>
    <row r="725" spans="1:1" ht="15.75" customHeight="1" x14ac:dyDescent="0.2">
      <c r="A725" s="68"/>
    </row>
    <row r="726" spans="1:1" ht="15.75" customHeight="1" x14ac:dyDescent="0.2">
      <c r="A726" s="68"/>
    </row>
    <row r="727" spans="1:1" ht="15.75" customHeight="1" x14ac:dyDescent="0.2">
      <c r="A727" s="68"/>
    </row>
    <row r="728" spans="1:1" ht="15.75" customHeight="1" x14ac:dyDescent="0.2">
      <c r="A728" s="68"/>
    </row>
    <row r="729" spans="1:1" ht="15.75" customHeight="1" x14ac:dyDescent="0.2">
      <c r="A729" s="68"/>
    </row>
    <row r="730" spans="1:1" ht="15.75" customHeight="1" x14ac:dyDescent="0.2">
      <c r="A730" s="68"/>
    </row>
    <row r="731" spans="1:1" ht="15.75" customHeight="1" x14ac:dyDescent="0.2">
      <c r="A731" s="68"/>
    </row>
    <row r="732" spans="1:1" ht="15.75" customHeight="1" x14ac:dyDescent="0.2">
      <c r="A732" s="68"/>
    </row>
    <row r="733" spans="1:1" ht="15.75" customHeight="1" x14ac:dyDescent="0.2">
      <c r="A733" s="68"/>
    </row>
    <row r="734" spans="1:1" ht="15.75" customHeight="1" x14ac:dyDescent="0.2">
      <c r="A734" s="68"/>
    </row>
    <row r="735" spans="1:1" ht="15.75" customHeight="1" x14ac:dyDescent="0.2">
      <c r="A735" s="68"/>
    </row>
    <row r="736" spans="1:1" ht="15.75" customHeight="1" x14ac:dyDescent="0.2">
      <c r="A736" s="68"/>
    </row>
    <row r="737" spans="1:1" ht="15.75" customHeight="1" x14ac:dyDescent="0.2">
      <c r="A737" s="68"/>
    </row>
    <row r="738" spans="1:1" ht="15.75" customHeight="1" x14ac:dyDescent="0.2">
      <c r="A738" s="68"/>
    </row>
    <row r="739" spans="1:1" ht="15.75" customHeight="1" x14ac:dyDescent="0.2">
      <c r="A739" s="68"/>
    </row>
    <row r="740" spans="1:1" ht="15.75" customHeight="1" x14ac:dyDescent="0.2">
      <c r="A740" s="68"/>
    </row>
    <row r="741" spans="1:1" ht="15.75" customHeight="1" x14ac:dyDescent="0.2">
      <c r="A741" s="68"/>
    </row>
    <row r="742" spans="1:1" ht="15.75" customHeight="1" x14ac:dyDescent="0.2">
      <c r="A742" s="68"/>
    </row>
    <row r="743" spans="1:1" ht="15.75" customHeight="1" x14ac:dyDescent="0.2">
      <c r="A743" s="68"/>
    </row>
    <row r="744" spans="1:1" ht="15.75" customHeight="1" x14ac:dyDescent="0.2">
      <c r="A744" s="68"/>
    </row>
    <row r="745" spans="1:1" ht="15.75" customHeight="1" x14ac:dyDescent="0.2">
      <c r="A745" s="68"/>
    </row>
    <row r="746" spans="1:1" ht="15.75" customHeight="1" x14ac:dyDescent="0.2">
      <c r="A746" s="68"/>
    </row>
    <row r="747" spans="1:1" ht="15.75" customHeight="1" x14ac:dyDescent="0.2">
      <c r="A747" s="68"/>
    </row>
    <row r="748" spans="1:1" ht="15.75" customHeight="1" x14ac:dyDescent="0.2">
      <c r="A748" s="68"/>
    </row>
    <row r="749" spans="1:1" ht="15.75" customHeight="1" x14ac:dyDescent="0.2">
      <c r="A749" s="68"/>
    </row>
    <row r="750" spans="1:1" ht="15.75" customHeight="1" x14ac:dyDescent="0.2">
      <c r="A750" s="68"/>
    </row>
    <row r="751" spans="1:1" ht="15.75" customHeight="1" x14ac:dyDescent="0.2">
      <c r="A751" s="68"/>
    </row>
    <row r="752" spans="1:1" ht="15.75" customHeight="1" x14ac:dyDescent="0.2">
      <c r="A752" s="68"/>
    </row>
    <row r="753" spans="1:1" ht="15.75" customHeight="1" x14ac:dyDescent="0.2">
      <c r="A753" s="68"/>
    </row>
    <row r="754" spans="1:1" ht="15.75" customHeight="1" x14ac:dyDescent="0.2">
      <c r="A754" s="68"/>
    </row>
    <row r="755" spans="1:1" ht="15.75" customHeight="1" x14ac:dyDescent="0.2">
      <c r="A755" s="68"/>
    </row>
    <row r="756" spans="1:1" ht="15.75" customHeight="1" x14ac:dyDescent="0.2">
      <c r="A756" s="68"/>
    </row>
    <row r="757" spans="1:1" ht="15.75" customHeight="1" x14ac:dyDescent="0.2">
      <c r="A757" s="68"/>
    </row>
    <row r="758" spans="1:1" ht="15.75" customHeight="1" x14ac:dyDescent="0.2">
      <c r="A758" s="68"/>
    </row>
    <row r="759" spans="1:1" ht="15.75" customHeight="1" x14ac:dyDescent="0.2">
      <c r="A759" s="68"/>
    </row>
    <row r="760" spans="1:1" ht="15.75" customHeight="1" x14ac:dyDescent="0.2">
      <c r="A760" s="68"/>
    </row>
    <row r="761" spans="1:1" ht="15.75" customHeight="1" x14ac:dyDescent="0.2">
      <c r="A761" s="68"/>
    </row>
    <row r="762" spans="1:1" ht="15.75" customHeight="1" x14ac:dyDescent="0.2">
      <c r="A762" s="68"/>
    </row>
    <row r="763" spans="1:1" ht="15.75" customHeight="1" x14ac:dyDescent="0.2">
      <c r="A763" s="68"/>
    </row>
    <row r="764" spans="1:1" ht="15.75" customHeight="1" x14ac:dyDescent="0.2">
      <c r="A764" s="68"/>
    </row>
    <row r="765" spans="1:1" ht="15.75" customHeight="1" x14ac:dyDescent="0.2">
      <c r="A765" s="68"/>
    </row>
    <row r="766" spans="1:1" ht="15.75" customHeight="1" x14ac:dyDescent="0.2">
      <c r="A766" s="68"/>
    </row>
    <row r="767" spans="1:1" ht="15.75" customHeight="1" x14ac:dyDescent="0.2">
      <c r="A767" s="68"/>
    </row>
    <row r="768" spans="1:1" ht="15.75" customHeight="1" x14ac:dyDescent="0.2">
      <c r="A768" s="68"/>
    </row>
    <row r="769" spans="1:1" ht="15.75" customHeight="1" x14ac:dyDescent="0.2">
      <c r="A769" s="68"/>
    </row>
    <row r="770" spans="1:1" ht="15.75" customHeight="1" x14ac:dyDescent="0.2">
      <c r="A770" s="68"/>
    </row>
    <row r="771" spans="1:1" ht="15.75" customHeight="1" x14ac:dyDescent="0.2">
      <c r="A771" s="68"/>
    </row>
    <row r="772" spans="1:1" ht="15.75" customHeight="1" x14ac:dyDescent="0.2">
      <c r="A772" s="68"/>
    </row>
    <row r="773" spans="1:1" ht="15.75" customHeight="1" x14ac:dyDescent="0.2">
      <c r="A773" s="68"/>
    </row>
    <row r="774" spans="1:1" ht="15.75" customHeight="1" x14ac:dyDescent="0.2">
      <c r="A774" s="68"/>
    </row>
    <row r="775" spans="1:1" ht="15.75" customHeight="1" x14ac:dyDescent="0.2">
      <c r="A775" s="68"/>
    </row>
    <row r="776" spans="1:1" ht="15.75" customHeight="1" x14ac:dyDescent="0.2">
      <c r="A776" s="68"/>
    </row>
    <row r="777" spans="1:1" ht="15.75" customHeight="1" x14ac:dyDescent="0.2">
      <c r="A777" s="68"/>
    </row>
    <row r="778" spans="1:1" ht="15.75" customHeight="1" x14ac:dyDescent="0.2">
      <c r="A778" s="68"/>
    </row>
    <row r="779" spans="1:1" ht="15.75" customHeight="1" x14ac:dyDescent="0.2">
      <c r="A779" s="68"/>
    </row>
    <row r="780" spans="1:1" ht="15.75" customHeight="1" x14ac:dyDescent="0.2">
      <c r="A780" s="68"/>
    </row>
    <row r="781" spans="1:1" ht="15.75" customHeight="1" x14ac:dyDescent="0.2">
      <c r="A781" s="68"/>
    </row>
    <row r="782" spans="1:1" ht="15.75" customHeight="1" x14ac:dyDescent="0.2">
      <c r="A782" s="68"/>
    </row>
    <row r="783" spans="1:1" ht="15.75" customHeight="1" x14ac:dyDescent="0.2">
      <c r="A783" s="68"/>
    </row>
    <row r="784" spans="1:1" ht="15.75" customHeight="1" x14ac:dyDescent="0.2">
      <c r="A784" s="68"/>
    </row>
    <row r="785" spans="1:1" ht="15.75" customHeight="1" x14ac:dyDescent="0.2">
      <c r="A785" s="68"/>
    </row>
    <row r="786" spans="1:1" ht="15.75" customHeight="1" x14ac:dyDescent="0.2">
      <c r="A786" s="68"/>
    </row>
    <row r="787" spans="1:1" ht="15.75" customHeight="1" x14ac:dyDescent="0.2">
      <c r="A787" s="68"/>
    </row>
    <row r="788" spans="1:1" ht="15.75" customHeight="1" x14ac:dyDescent="0.2">
      <c r="A788" s="68"/>
    </row>
    <row r="789" spans="1:1" ht="15.75" customHeight="1" x14ac:dyDescent="0.2">
      <c r="A789" s="68"/>
    </row>
    <row r="790" spans="1:1" ht="15.75" customHeight="1" x14ac:dyDescent="0.2">
      <c r="A790" s="68"/>
    </row>
    <row r="791" spans="1:1" ht="15.75" customHeight="1" x14ac:dyDescent="0.2">
      <c r="A791" s="68"/>
    </row>
    <row r="792" spans="1:1" ht="15.75" customHeight="1" x14ac:dyDescent="0.2">
      <c r="A792" s="68"/>
    </row>
    <row r="793" spans="1:1" ht="15.75" customHeight="1" x14ac:dyDescent="0.2">
      <c r="A793" s="68"/>
    </row>
    <row r="794" spans="1:1" ht="15.75" customHeight="1" x14ac:dyDescent="0.2">
      <c r="A794" s="68"/>
    </row>
    <row r="795" spans="1:1" ht="15.75" customHeight="1" x14ac:dyDescent="0.2">
      <c r="A795" s="68"/>
    </row>
    <row r="796" spans="1:1" ht="15.75" customHeight="1" x14ac:dyDescent="0.2">
      <c r="A796" s="68"/>
    </row>
    <row r="797" spans="1:1" ht="15.75" customHeight="1" x14ac:dyDescent="0.2">
      <c r="A797" s="68"/>
    </row>
    <row r="798" spans="1:1" ht="15.75" customHeight="1" x14ac:dyDescent="0.2">
      <c r="A798" s="68"/>
    </row>
    <row r="799" spans="1:1" ht="15.75" customHeight="1" x14ac:dyDescent="0.2">
      <c r="A799" s="68"/>
    </row>
    <row r="800" spans="1:1" ht="15.75" customHeight="1" x14ac:dyDescent="0.2">
      <c r="A800" s="68"/>
    </row>
    <row r="801" spans="1:1" ht="15.75" customHeight="1" x14ac:dyDescent="0.2">
      <c r="A801" s="68"/>
    </row>
    <row r="802" spans="1:1" ht="15.75" customHeight="1" x14ac:dyDescent="0.2">
      <c r="A802" s="68"/>
    </row>
    <row r="803" spans="1:1" ht="15.75" customHeight="1" x14ac:dyDescent="0.2">
      <c r="A803" s="68"/>
    </row>
    <row r="804" spans="1:1" ht="15.75" customHeight="1" x14ac:dyDescent="0.2">
      <c r="A804" s="68"/>
    </row>
    <row r="805" spans="1:1" ht="15.75" customHeight="1" x14ac:dyDescent="0.2">
      <c r="A805" s="68"/>
    </row>
    <row r="806" spans="1:1" ht="15.75" customHeight="1" x14ac:dyDescent="0.2">
      <c r="A806" s="68"/>
    </row>
    <row r="807" spans="1:1" ht="15.75" customHeight="1" x14ac:dyDescent="0.2">
      <c r="A807" s="68"/>
    </row>
    <row r="808" spans="1:1" ht="15.75" customHeight="1" x14ac:dyDescent="0.2">
      <c r="A808" s="68"/>
    </row>
    <row r="809" spans="1:1" ht="15.75" customHeight="1" x14ac:dyDescent="0.2">
      <c r="A809" s="68"/>
    </row>
    <row r="810" spans="1:1" ht="15.75" customHeight="1" x14ac:dyDescent="0.2">
      <c r="A810" s="68"/>
    </row>
    <row r="811" spans="1:1" ht="15.75" customHeight="1" x14ac:dyDescent="0.2">
      <c r="A811" s="68"/>
    </row>
    <row r="812" spans="1:1" ht="15.75" customHeight="1" x14ac:dyDescent="0.2">
      <c r="A812" s="68"/>
    </row>
    <row r="813" spans="1:1" ht="15.75" customHeight="1" x14ac:dyDescent="0.2">
      <c r="A813" s="68"/>
    </row>
    <row r="814" spans="1:1" ht="15.75" customHeight="1" x14ac:dyDescent="0.2">
      <c r="A814" s="68"/>
    </row>
    <row r="815" spans="1:1" ht="15.75" customHeight="1" x14ac:dyDescent="0.2">
      <c r="A815" s="68"/>
    </row>
    <row r="816" spans="1:1" ht="15.75" customHeight="1" x14ac:dyDescent="0.2">
      <c r="A816" s="68"/>
    </row>
    <row r="817" spans="1:1" ht="15.75" customHeight="1" x14ac:dyDescent="0.2">
      <c r="A817" s="68"/>
    </row>
    <row r="818" spans="1:1" ht="15.75" customHeight="1" x14ac:dyDescent="0.2">
      <c r="A818" s="68"/>
    </row>
    <row r="819" spans="1:1" ht="15.75" customHeight="1" x14ac:dyDescent="0.2">
      <c r="A819" s="68"/>
    </row>
    <row r="820" spans="1:1" ht="15.75" customHeight="1" x14ac:dyDescent="0.2">
      <c r="A820" s="68"/>
    </row>
    <row r="821" spans="1:1" ht="15.75" customHeight="1" x14ac:dyDescent="0.2">
      <c r="A821" s="68"/>
    </row>
    <row r="822" spans="1:1" ht="15.75" customHeight="1" x14ac:dyDescent="0.2">
      <c r="A822" s="68"/>
    </row>
    <row r="823" spans="1:1" ht="15.75" customHeight="1" x14ac:dyDescent="0.2">
      <c r="A823" s="68"/>
    </row>
    <row r="824" spans="1:1" ht="15.75" customHeight="1" x14ac:dyDescent="0.2">
      <c r="A824" s="68"/>
    </row>
    <row r="825" spans="1:1" ht="15.75" customHeight="1" x14ac:dyDescent="0.2">
      <c r="A825" s="68"/>
    </row>
    <row r="826" spans="1:1" ht="15.75" customHeight="1" x14ac:dyDescent="0.2">
      <c r="A826" s="68"/>
    </row>
    <row r="827" spans="1:1" ht="15.75" customHeight="1" x14ac:dyDescent="0.2">
      <c r="A827" s="68"/>
    </row>
    <row r="828" spans="1:1" ht="15.75" customHeight="1" x14ac:dyDescent="0.2">
      <c r="A828" s="68"/>
    </row>
    <row r="829" spans="1:1" ht="15.75" customHeight="1" x14ac:dyDescent="0.2">
      <c r="A829" s="68"/>
    </row>
    <row r="830" spans="1:1" ht="15.75" customHeight="1" x14ac:dyDescent="0.2">
      <c r="A830" s="68"/>
    </row>
    <row r="831" spans="1:1" ht="15.75" customHeight="1" x14ac:dyDescent="0.2">
      <c r="A831" s="68"/>
    </row>
    <row r="832" spans="1:1" ht="15.75" customHeight="1" x14ac:dyDescent="0.2">
      <c r="A832" s="68"/>
    </row>
    <row r="833" spans="1:1" ht="15.75" customHeight="1" x14ac:dyDescent="0.2">
      <c r="A833" s="68"/>
    </row>
    <row r="834" spans="1:1" ht="15.75" customHeight="1" x14ac:dyDescent="0.2">
      <c r="A834" s="68"/>
    </row>
    <row r="835" spans="1:1" ht="15.75" customHeight="1" x14ac:dyDescent="0.2">
      <c r="A835" s="68"/>
    </row>
    <row r="836" spans="1:1" ht="15.75" customHeight="1" x14ac:dyDescent="0.2">
      <c r="A836" s="68"/>
    </row>
    <row r="837" spans="1:1" ht="15.75" customHeight="1" x14ac:dyDescent="0.2">
      <c r="A837" s="68"/>
    </row>
    <row r="838" spans="1:1" ht="15.75" customHeight="1" x14ac:dyDescent="0.2">
      <c r="A838" s="68"/>
    </row>
    <row r="839" spans="1:1" ht="15.75" customHeight="1" x14ac:dyDescent="0.2">
      <c r="A839" s="68"/>
    </row>
    <row r="840" spans="1:1" ht="15.75" customHeight="1" x14ac:dyDescent="0.2">
      <c r="A840" s="68"/>
    </row>
    <row r="841" spans="1:1" ht="15.75" customHeight="1" x14ac:dyDescent="0.2">
      <c r="A841" s="68"/>
    </row>
    <row r="842" spans="1:1" ht="15.75" customHeight="1" x14ac:dyDescent="0.2">
      <c r="A842" s="68"/>
    </row>
    <row r="843" spans="1:1" ht="15.75" customHeight="1" x14ac:dyDescent="0.2">
      <c r="A843" s="68"/>
    </row>
    <row r="844" spans="1:1" ht="15.75" customHeight="1" x14ac:dyDescent="0.2">
      <c r="A844" s="68"/>
    </row>
    <row r="845" spans="1:1" ht="15.75" customHeight="1" x14ac:dyDescent="0.2">
      <c r="A845" s="68"/>
    </row>
    <row r="846" spans="1:1" ht="15.75" customHeight="1" x14ac:dyDescent="0.2">
      <c r="A846" s="68"/>
    </row>
    <row r="847" spans="1:1" ht="15.75" customHeight="1" x14ac:dyDescent="0.2">
      <c r="A847" s="68"/>
    </row>
    <row r="848" spans="1:1" ht="15.75" customHeight="1" x14ac:dyDescent="0.2">
      <c r="A848" s="68"/>
    </row>
    <row r="849" spans="1:1" ht="15.75" customHeight="1" x14ac:dyDescent="0.2">
      <c r="A849" s="68"/>
    </row>
    <row r="850" spans="1:1" ht="15.75" customHeight="1" x14ac:dyDescent="0.2">
      <c r="A850" s="68"/>
    </row>
    <row r="851" spans="1:1" ht="15.75" customHeight="1" x14ac:dyDescent="0.2">
      <c r="A851" s="68"/>
    </row>
    <row r="852" spans="1:1" ht="15.75" customHeight="1" x14ac:dyDescent="0.2">
      <c r="A852" s="68"/>
    </row>
    <row r="853" spans="1:1" ht="15.75" customHeight="1" x14ac:dyDescent="0.2">
      <c r="A853" s="68"/>
    </row>
    <row r="854" spans="1:1" ht="15.75" customHeight="1" x14ac:dyDescent="0.2">
      <c r="A854" s="68"/>
    </row>
    <row r="855" spans="1:1" ht="15.75" customHeight="1" x14ac:dyDescent="0.2">
      <c r="A855" s="68"/>
    </row>
    <row r="856" spans="1:1" ht="15.75" customHeight="1" x14ac:dyDescent="0.2">
      <c r="A856" s="68"/>
    </row>
    <row r="857" spans="1:1" ht="15.75" customHeight="1" x14ac:dyDescent="0.2">
      <c r="A857" s="68"/>
    </row>
    <row r="858" spans="1:1" ht="15.75" customHeight="1" x14ac:dyDescent="0.2">
      <c r="A858" s="68"/>
    </row>
    <row r="859" spans="1:1" ht="15.75" customHeight="1" x14ac:dyDescent="0.2">
      <c r="A859" s="68"/>
    </row>
    <row r="860" spans="1:1" ht="15.75" customHeight="1" x14ac:dyDescent="0.2">
      <c r="A860" s="68"/>
    </row>
    <row r="861" spans="1:1" ht="15.75" customHeight="1" x14ac:dyDescent="0.2">
      <c r="A861" s="68"/>
    </row>
    <row r="862" spans="1:1" ht="15.75" customHeight="1" x14ac:dyDescent="0.2">
      <c r="A862" s="68"/>
    </row>
    <row r="863" spans="1:1" ht="15.75" customHeight="1" x14ac:dyDescent="0.2">
      <c r="A863" s="68"/>
    </row>
    <row r="864" spans="1:1" ht="15.75" customHeight="1" x14ac:dyDescent="0.2">
      <c r="A864" s="68"/>
    </row>
    <row r="865" spans="1:1" ht="15.75" customHeight="1" x14ac:dyDescent="0.2">
      <c r="A865" s="68"/>
    </row>
    <row r="866" spans="1:1" ht="15.75" customHeight="1" x14ac:dyDescent="0.2">
      <c r="A866" s="68"/>
    </row>
    <row r="867" spans="1:1" ht="15.75" customHeight="1" x14ac:dyDescent="0.2">
      <c r="A867" s="68"/>
    </row>
    <row r="868" spans="1:1" ht="15.75" customHeight="1" x14ac:dyDescent="0.2">
      <c r="A868" s="68"/>
    </row>
    <row r="869" spans="1:1" ht="15.75" customHeight="1" x14ac:dyDescent="0.2">
      <c r="A869" s="68"/>
    </row>
    <row r="870" spans="1:1" ht="15.75" customHeight="1" x14ac:dyDescent="0.2">
      <c r="A870" s="68"/>
    </row>
    <row r="871" spans="1:1" ht="15.75" customHeight="1" x14ac:dyDescent="0.2">
      <c r="A871" s="68"/>
    </row>
    <row r="872" spans="1:1" ht="15.75" customHeight="1" x14ac:dyDescent="0.2">
      <c r="A872" s="68"/>
    </row>
    <row r="873" spans="1:1" ht="15.75" customHeight="1" x14ac:dyDescent="0.2">
      <c r="A873" s="68"/>
    </row>
    <row r="874" spans="1:1" ht="15.75" customHeight="1" x14ac:dyDescent="0.2">
      <c r="A874" s="68"/>
    </row>
    <row r="875" spans="1:1" ht="15.75" customHeight="1" x14ac:dyDescent="0.2">
      <c r="A875" s="68"/>
    </row>
    <row r="876" spans="1:1" ht="15.75" customHeight="1" x14ac:dyDescent="0.2">
      <c r="A876" s="68"/>
    </row>
    <row r="877" spans="1:1" ht="15.75" customHeight="1" x14ac:dyDescent="0.2">
      <c r="A877" s="68"/>
    </row>
    <row r="878" spans="1:1" ht="15.75" customHeight="1" x14ac:dyDescent="0.2">
      <c r="A878" s="68"/>
    </row>
    <row r="879" spans="1:1" ht="15.75" customHeight="1" x14ac:dyDescent="0.2">
      <c r="A879" s="68"/>
    </row>
    <row r="880" spans="1:1" ht="15.75" customHeight="1" x14ac:dyDescent="0.2">
      <c r="A880" s="68"/>
    </row>
    <row r="881" spans="1:1" ht="15.75" customHeight="1" x14ac:dyDescent="0.2">
      <c r="A881" s="68"/>
    </row>
    <row r="882" spans="1:1" ht="15.75" customHeight="1" x14ac:dyDescent="0.2">
      <c r="A882" s="68"/>
    </row>
    <row r="883" spans="1:1" ht="15.75" customHeight="1" x14ac:dyDescent="0.2">
      <c r="A883" s="68"/>
    </row>
    <row r="884" spans="1:1" ht="15.75" customHeight="1" x14ac:dyDescent="0.2">
      <c r="A884" s="68"/>
    </row>
    <row r="885" spans="1:1" ht="15.75" customHeight="1" x14ac:dyDescent="0.2">
      <c r="A885" s="68"/>
    </row>
    <row r="886" spans="1:1" ht="15.75" customHeight="1" x14ac:dyDescent="0.2">
      <c r="A886" s="68"/>
    </row>
    <row r="887" spans="1:1" ht="15.75" customHeight="1" x14ac:dyDescent="0.2">
      <c r="A887" s="68"/>
    </row>
    <row r="888" spans="1:1" ht="15.75" customHeight="1" x14ac:dyDescent="0.2">
      <c r="A888" s="68"/>
    </row>
    <row r="889" spans="1:1" ht="15.75" customHeight="1" x14ac:dyDescent="0.2">
      <c r="A889" s="68"/>
    </row>
    <row r="890" spans="1:1" ht="15.75" customHeight="1" x14ac:dyDescent="0.2">
      <c r="A890" s="68"/>
    </row>
    <row r="891" spans="1:1" ht="15.75" customHeight="1" x14ac:dyDescent="0.2">
      <c r="A891" s="68"/>
    </row>
    <row r="892" spans="1:1" ht="15.75" customHeight="1" x14ac:dyDescent="0.2">
      <c r="A892" s="68"/>
    </row>
    <row r="893" spans="1:1" ht="15.75" customHeight="1" x14ac:dyDescent="0.2">
      <c r="A893" s="68"/>
    </row>
    <row r="894" spans="1:1" ht="15.75" customHeight="1" x14ac:dyDescent="0.2">
      <c r="A894" s="68"/>
    </row>
    <row r="895" spans="1:1" ht="15.75" customHeight="1" x14ac:dyDescent="0.2">
      <c r="A895" s="68"/>
    </row>
    <row r="896" spans="1:1" ht="15.75" customHeight="1" x14ac:dyDescent="0.2">
      <c r="A896" s="68"/>
    </row>
    <row r="897" spans="1:1" ht="15.75" customHeight="1" x14ac:dyDescent="0.2">
      <c r="A897" s="68"/>
    </row>
    <row r="898" spans="1:1" ht="15.75" customHeight="1" x14ac:dyDescent="0.2">
      <c r="A898" s="68"/>
    </row>
    <row r="899" spans="1:1" ht="15.75" customHeight="1" x14ac:dyDescent="0.2">
      <c r="A899" s="68"/>
    </row>
    <row r="900" spans="1:1" ht="15.75" customHeight="1" x14ac:dyDescent="0.2">
      <c r="A900" s="68"/>
    </row>
    <row r="901" spans="1:1" ht="15.75" customHeight="1" x14ac:dyDescent="0.2">
      <c r="A901" s="68"/>
    </row>
    <row r="902" spans="1:1" ht="15.75" customHeight="1" x14ac:dyDescent="0.2">
      <c r="A902" s="68"/>
    </row>
    <row r="903" spans="1:1" ht="15.75" customHeight="1" x14ac:dyDescent="0.2">
      <c r="A903" s="68"/>
    </row>
    <row r="904" spans="1:1" ht="15.75" customHeight="1" x14ac:dyDescent="0.2">
      <c r="A904" s="68"/>
    </row>
    <row r="905" spans="1:1" ht="15.75" customHeight="1" x14ac:dyDescent="0.2">
      <c r="A905" s="68"/>
    </row>
    <row r="906" spans="1:1" ht="15.75" customHeight="1" x14ac:dyDescent="0.2">
      <c r="A906" s="68"/>
    </row>
    <row r="907" spans="1:1" ht="15.75" customHeight="1" x14ac:dyDescent="0.2">
      <c r="A907" s="68"/>
    </row>
    <row r="908" spans="1:1" ht="15.75" customHeight="1" x14ac:dyDescent="0.2">
      <c r="A908" s="68"/>
    </row>
    <row r="909" spans="1:1" ht="15.75" customHeight="1" x14ac:dyDescent="0.2">
      <c r="A909" s="68"/>
    </row>
    <row r="910" spans="1:1" ht="15.75" customHeight="1" x14ac:dyDescent="0.2">
      <c r="A910" s="68"/>
    </row>
    <row r="911" spans="1:1" ht="15.75" customHeight="1" x14ac:dyDescent="0.2">
      <c r="A911" s="68"/>
    </row>
    <row r="912" spans="1:1" ht="15.75" customHeight="1" x14ac:dyDescent="0.2">
      <c r="A912" s="68"/>
    </row>
    <row r="913" spans="1:1" ht="15.75" customHeight="1" x14ac:dyDescent="0.2">
      <c r="A913" s="68"/>
    </row>
    <row r="914" spans="1:1" ht="15.75" customHeight="1" x14ac:dyDescent="0.2">
      <c r="A914" s="68"/>
    </row>
    <row r="915" spans="1:1" ht="15.75" customHeight="1" x14ac:dyDescent="0.2">
      <c r="A915" s="68"/>
    </row>
    <row r="916" spans="1:1" ht="15.75" customHeight="1" x14ac:dyDescent="0.2">
      <c r="A916" s="68"/>
    </row>
    <row r="917" spans="1:1" ht="15.75" customHeight="1" x14ac:dyDescent="0.2">
      <c r="A917" s="68"/>
    </row>
    <row r="918" spans="1:1" ht="15.75" customHeight="1" x14ac:dyDescent="0.2">
      <c r="A918" s="68"/>
    </row>
    <row r="919" spans="1:1" ht="15.75" customHeight="1" x14ac:dyDescent="0.2">
      <c r="A919" s="68"/>
    </row>
    <row r="920" spans="1:1" ht="15.75" customHeight="1" x14ac:dyDescent="0.2">
      <c r="A920" s="68"/>
    </row>
    <row r="921" spans="1:1" ht="15.75" customHeight="1" x14ac:dyDescent="0.2">
      <c r="A921" s="68"/>
    </row>
    <row r="922" spans="1:1" ht="15.75" customHeight="1" x14ac:dyDescent="0.2">
      <c r="A922" s="68"/>
    </row>
    <row r="923" spans="1:1" ht="15.75" customHeight="1" x14ac:dyDescent="0.2">
      <c r="A923" s="68"/>
    </row>
    <row r="924" spans="1:1" ht="15.75" customHeight="1" x14ac:dyDescent="0.2">
      <c r="A924" s="68"/>
    </row>
    <row r="925" spans="1:1" ht="15.75" customHeight="1" x14ac:dyDescent="0.2">
      <c r="A925" s="68"/>
    </row>
    <row r="926" spans="1:1" ht="15.75" customHeight="1" x14ac:dyDescent="0.2">
      <c r="A926" s="68"/>
    </row>
    <row r="927" spans="1:1" ht="15.75" customHeight="1" x14ac:dyDescent="0.2">
      <c r="A927" s="68"/>
    </row>
    <row r="928" spans="1:1" ht="15.75" customHeight="1" x14ac:dyDescent="0.2">
      <c r="A928" s="68"/>
    </row>
    <row r="929" spans="1:1" ht="15.75" customHeight="1" x14ac:dyDescent="0.2">
      <c r="A929" s="68"/>
    </row>
    <row r="930" spans="1:1" ht="15.75" customHeight="1" x14ac:dyDescent="0.2">
      <c r="A930" s="68"/>
    </row>
    <row r="931" spans="1:1" ht="15.75" customHeight="1" x14ac:dyDescent="0.2">
      <c r="A931" s="68"/>
    </row>
    <row r="932" spans="1:1" ht="15.75" customHeight="1" x14ac:dyDescent="0.2">
      <c r="A932" s="68"/>
    </row>
    <row r="933" spans="1:1" ht="15.75" customHeight="1" x14ac:dyDescent="0.2">
      <c r="A933" s="68"/>
    </row>
    <row r="934" spans="1:1" ht="15.75" customHeight="1" x14ac:dyDescent="0.2">
      <c r="A934" s="68"/>
    </row>
    <row r="935" spans="1:1" ht="15.75" customHeight="1" x14ac:dyDescent="0.2">
      <c r="A935" s="68"/>
    </row>
    <row r="936" spans="1:1" ht="15.75" customHeight="1" x14ac:dyDescent="0.2">
      <c r="A936" s="68"/>
    </row>
    <row r="937" spans="1:1" ht="15.75" customHeight="1" x14ac:dyDescent="0.2">
      <c r="A937" s="68"/>
    </row>
    <row r="938" spans="1:1" ht="15.75" customHeight="1" x14ac:dyDescent="0.2">
      <c r="A938" s="68"/>
    </row>
    <row r="939" spans="1:1" ht="15.75" customHeight="1" x14ac:dyDescent="0.2">
      <c r="A939" s="68"/>
    </row>
    <row r="940" spans="1:1" ht="15.75" customHeight="1" x14ac:dyDescent="0.2">
      <c r="A940" s="68"/>
    </row>
    <row r="941" spans="1:1" ht="15.75" customHeight="1" x14ac:dyDescent="0.2">
      <c r="A941" s="68"/>
    </row>
    <row r="942" spans="1:1" ht="15.75" customHeight="1" x14ac:dyDescent="0.2">
      <c r="A942" s="68"/>
    </row>
    <row r="943" spans="1:1" ht="15.75" customHeight="1" x14ac:dyDescent="0.2">
      <c r="A943" s="68"/>
    </row>
    <row r="944" spans="1:1" ht="15.75" customHeight="1" x14ac:dyDescent="0.2">
      <c r="A944" s="68"/>
    </row>
    <row r="945" spans="1:1" ht="15.75" customHeight="1" x14ac:dyDescent="0.2">
      <c r="A945" s="68"/>
    </row>
    <row r="946" spans="1:1" ht="15.75" customHeight="1" x14ac:dyDescent="0.2">
      <c r="A946" s="68"/>
    </row>
    <row r="947" spans="1:1" ht="15.75" customHeight="1" x14ac:dyDescent="0.2">
      <c r="A947" s="68"/>
    </row>
    <row r="948" spans="1:1" ht="15.75" customHeight="1" x14ac:dyDescent="0.2">
      <c r="A948" s="68"/>
    </row>
    <row r="949" spans="1:1" ht="15.75" customHeight="1" x14ac:dyDescent="0.2">
      <c r="A949" s="68"/>
    </row>
    <row r="950" spans="1:1" ht="15.75" customHeight="1" x14ac:dyDescent="0.2">
      <c r="A950" s="68"/>
    </row>
    <row r="951" spans="1:1" ht="15.75" customHeight="1" x14ac:dyDescent="0.2">
      <c r="A951" s="68"/>
    </row>
    <row r="952" spans="1:1" ht="15.75" customHeight="1" x14ac:dyDescent="0.2">
      <c r="A952" s="68"/>
    </row>
    <row r="953" spans="1:1" ht="15.75" customHeight="1" x14ac:dyDescent="0.2">
      <c r="A953" s="68"/>
    </row>
    <row r="954" spans="1:1" ht="15.75" customHeight="1" x14ac:dyDescent="0.2">
      <c r="A954" s="68"/>
    </row>
    <row r="955" spans="1:1" ht="15.75" customHeight="1" x14ac:dyDescent="0.2">
      <c r="A955" s="68"/>
    </row>
    <row r="956" spans="1:1" ht="15.75" customHeight="1" x14ac:dyDescent="0.2">
      <c r="A956" s="68"/>
    </row>
    <row r="957" spans="1:1" ht="15.75" customHeight="1" x14ac:dyDescent="0.2">
      <c r="A957" s="68"/>
    </row>
    <row r="958" spans="1:1" ht="15.75" customHeight="1" x14ac:dyDescent="0.2">
      <c r="A958" s="68"/>
    </row>
    <row r="959" spans="1:1" ht="15.75" customHeight="1" x14ac:dyDescent="0.2">
      <c r="A959" s="68"/>
    </row>
    <row r="960" spans="1:1" ht="15.75" customHeight="1" x14ac:dyDescent="0.2">
      <c r="A960" s="68"/>
    </row>
    <row r="961" spans="1:1" ht="15.75" customHeight="1" x14ac:dyDescent="0.2">
      <c r="A961" s="68"/>
    </row>
    <row r="962" spans="1:1" ht="15.75" customHeight="1" x14ac:dyDescent="0.2">
      <c r="A962" s="68"/>
    </row>
    <row r="963" spans="1:1" ht="15.75" customHeight="1" x14ac:dyDescent="0.2">
      <c r="A963" s="68"/>
    </row>
    <row r="964" spans="1:1" ht="15.75" customHeight="1" x14ac:dyDescent="0.2">
      <c r="A964" s="68"/>
    </row>
    <row r="965" spans="1:1" ht="15.75" customHeight="1" x14ac:dyDescent="0.2">
      <c r="A965" s="68"/>
    </row>
    <row r="966" spans="1:1" ht="15.75" customHeight="1" x14ac:dyDescent="0.2">
      <c r="A966" s="68"/>
    </row>
    <row r="967" spans="1:1" ht="15.75" customHeight="1" x14ac:dyDescent="0.2">
      <c r="A967" s="68"/>
    </row>
    <row r="968" spans="1:1" ht="15.75" customHeight="1" x14ac:dyDescent="0.2">
      <c r="A968" s="68"/>
    </row>
    <row r="969" spans="1:1" ht="15.75" customHeight="1" x14ac:dyDescent="0.2">
      <c r="A969" s="68"/>
    </row>
    <row r="970" spans="1:1" ht="15.75" customHeight="1" x14ac:dyDescent="0.2">
      <c r="A970" s="68"/>
    </row>
    <row r="971" spans="1:1" ht="15.75" customHeight="1" x14ac:dyDescent="0.2">
      <c r="A971" s="68"/>
    </row>
    <row r="972" spans="1:1" ht="15.75" customHeight="1" x14ac:dyDescent="0.2">
      <c r="A972" s="68"/>
    </row>
    <row r="973" spans="1:1" ht="15.75" customHeight="1" x14ac:dyDescent="0.2">
      <c r="A973" s="68"/>
    </row>
    <row r="974" spans="1:1" ht="15.75" customHeight="1" x14ac:dyDescent="0.2">
      <c r="A974" s="68"/>
    </row>
    <row r="975" spans="1:1" ht="15.75" customHeight="1" x14ac:dyDescent="0.2">
      <c r="A975" s="68"/>
    </row>
    <row r="976" spans="1:1" ht="15.75" customHeight="1" x14ac:dyDescent="0.2">
      <c r="A976" s="68"/>
    </row>
    <row r="977" spans="1:1" ht="15.75" customHeight="1" x14ac:dyDescent="0.2">
      <c r="A977" s="68"/>
    </row>
    <row r="978" spans="1:1" ht="15.75" customHeight="1" x14ac:dyDescent="0.2">
      <c r="A978" s="68"/>
    </row>
    <row r="979" spans="1:1" ht="15.75" customHeight="1" x14ac:dyDescent="0.2">
      <c r="A979" s="68"/>
    </row>
    <row r="980" spans="1:1" ht="15.75" customHeight="1" x14ac:dyDescent="0.2">
      <c r="A980" s="68"/>
    </row>
    <row r="981" spans="1:1" ht="15.75" customHeight="1" x14ac:dyDescent="0.2">
      <c r="A981" s="68"/>
    </row>
    <row r="982" spans="1:1" ht="15.75" customHeight="1" x14ac:dyDescent="0.2">
      <c r="A982" s="68"/>
    </row>
    <row r="983" spans="1:1" ht="15.75" customHeight="1" x14ac:dyDescent="0.2">
      <c r="A983" s="68"/>
    </row>
    <row r="984" spans="1:1" ht="15.75" customHeight="1" x14ac:dyDescent="0.2">
      <c r="A984" s="68"/>
    </row>
    <row r="985" spans="1:1" ht="15.75" customHeight="1" x14ac:dyDescent="0.2">
      <c r="A985" s="68"/>
    </row>
    <row r="986" spans="1:1" ht="15.75" customHeight="1" x14ac:dyDescent="0.2">
      <c r="A986" s="68"/>
    </row>
    <row r="987" spans="1:1" ht="15.75" customHeight="1" x14ac:dyDescent="0.2">
      <c r="A987" s="68"/>
    </row>
    <row r="988" spans="1:1" ht="15.75" customHeight="1" x14ac:dyDescent="0.2">
      <c r="A988" s="68"/>
    </row>
    <row r="989" spans="1:1" ht="15.75" customHeight="1" x14ac:dyDescent="0.2">
      <c r="A989" s="68"/>
    </row>
    <row r="990" spans="1:1" ht="15.75" customHeight="1" x14ac:dyDescent="0.2">
      <c r="A990" s="68"/>
    </row>
    <row r="991" spans="1:1" ht="15.75" customHeight="1" x14ac:dyDescent="0.2">
      <c r="A991" s="68"/>
    </row>
    <row r="992" spans="1:1" ht="15.75" customHeight="1" x14ac:dyDescent="0.2">
      <c r="A992" s="68"/>
    </row>
    <row r="993" spans="1:1" ht="15.75" customHeight="1" x14ac:dyDescent="0.2">
      <c r="A993" s="68"/>
    </row>
    <row r="994" spans="1:1" ht="15.75" customHeight="1" x14ac:dyDescent="0.2">
      <c r="A994" s="68"/>
    </row>
    <row r="995" spans="1:1" ht="15.75" customHeight="1" x14ac:dyDescent="0.2">
      <c r="A995" s="68"/>
    </row>
    <row r="996" spans="1:1" ht="15.75" customHeight="1" x14ac:dyDescent="0.2">
      <c r="A996" s="68"/>
    </row>
    <row r="997" spans="1:1" ht="15.75" customHeight="1" x14ac:dyDescent="0.2">
      <c r="A997" s="68"/>
    </row>
    <row r="998" spans="1:1" ht="15.75" customHeight="1" x14ac:dyDescent="0.2">
      <c r="A998" s="68"/>
    </row>
    <row r="999" spans="1:1" ht="15.75" customHeight="1" x14ac:dyDescent="0.2">
      <c r="A999" s="68"/>
    </row>
    <row r="1000" spans="1:1" ht="15.75" customHeight="1" x14ac:dyDescent="0.2">
      <c r="A1000" s="68"/>
    </row>
  </sheetData>
  <mergeCells count="11">
    <mergeCell ref="D2:D3"/>
    <mergeCell ref="A24:D24"/>
    <mergeCell ref="A28:D28"/>
    <mergeCell ref="A29:D29"/>
    <mergeCell ref="A1:F1"/>
    <mergeCell ref="A2:A3"/>
    <mergeCell ref="B2:B3"/>
    <mergeCell ref="C2:C3"/>
    <mergeCell ref="E2:E3"/>
    <mergeCell ref="F2:F3"/>
    <mergeCell ref="A4:F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PRESUPUESTO_GRAL</vt:lpstr>
      <vt:lpstr>Hoja1</vt:lpstr>
      <vt:lpstr>CRONOGRAMA</vt:lpstr>
      <vt:lpstr>COTIZACIONES</vt:lpstr>
      <vt:lpstr>1.1.1 ESAL_PLANTULAS</vt:lpstr>
      <vt:lpstr>1.1.2 CORNARE_ESTABLECIMIENTO</vt:lpstr>
      <vt:lpstr>1.2 CORNARE_BIOFABRICA</vt:lpstr>
      <vt:lpstr>1.3 CORNARE_FORTALECIMIENTO</vt:lpstr>
      <vt:lpstr>2.1 ESAL_COMPOSTERA</vt:lpstr>
      <vt:lpstr>2.2 ESAL_STAM</vt:lpstr>
      <vt:lpstr>3. COMPONENTE TÉCNICO</vt:lpstr>
      <vt:lpstr>4. CAPACITACIONES</vt:lpstr>
      <vt:lpstr>5. DISTINTIVO CAFETEROS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salazar</dc:creator>
  <cp:lastModifiedBy>diego andres ocazionez osorio</cp:lastModifiedBy>
  <dcterms:created xsi:type="dcterms:W3CDTF">2024-11-19T16:27:39Z</dcterms:created>
  <dcterms:modified xsi:type="dcterms:W3CDTF">2025-10-09T12:53:38Z</dcterms:modified>
</cp:coreProperties>
</file>