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Ex3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4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5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Ex6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Ex7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charts/chartEx8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Ex9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Ex10.xml" ContentType="application/vnd.ms-office.chartex+xml"/>
  <Override PartName="/xl/charts/style18.xml" ContentType="application/vnd.ms-office.chartstyle+xml"/>
  <Override PartName="/xl/charts/colors18.xml" ContentType="application/vnd.ms-office.chartcolorstyle+xml"/>
  <Override PartName="/xl/charts/chartEx11.xml" ContentType="application/vnd.ms-office.chartex+xml"/>
  <Override PartName="/xl/charts/style19.xml" ContentType="application/vnd.ms-office.chartstyle+xml"/>
  <Override PartName="/xl/charts/colors19.xml" ContentType="application/vnd.ms-office.chartcolorstyle+xml"/>
  <Override PartName="/xl/charts/chart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Ex12.xml" ContentType="application/vnd.ms-office.chartex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Ex13.xml" ContentType="application/vnd.ms-office.chartex+xml"/>
  <Override PartName="/xl/charts/style23.xml" ContentType="application/vnd.ms-office.chartstyle+xml"/>
  <Override PartName="/xl/charts/colors23.xml" ContentType="application/vnd.ms-office.chartcolorstyle+xml"/>
  <Override PartName="/xl/charts/chartEx14.xml" ContentType="application/vnd.ms-office.chartex+xml"/>
  <Override PartName="/xl/charts/style24.xml" ContentType="application/vnd.ms-office.chartstyle+xml"/>
  <Override PartName="/xl/charts/colors24.xml" ContentType="application/vnd.ms-office.chartcolorstyle+xml"/>
  <Override PartName="/xl/charts/chart11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Ex15.xml" ContentType="application/vnd.ms-office.chartex+xml"/>
  <Override PartName="/xl/charts/style26.xml" ContentType="application/vnd.ms-office.chartstyle+xml"/>
  <Override PartName="/xl/charts/colors26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Ex16.xml" ContentType="application/vnd.ms-office.chartex+xml"/>
  <Override PartName="/xl/charts/style28.xml" ContentType="application/vnd.ms-office.chartstyle+xml"/>
  <Override PartName="/xl/charts/colors28.xml" ContentType="application/vnd.ms-office.chartcolorstyle+xml"/>
  <Override PartName="/xl/charts/chartEx17.xml" ContentType="application/vnd.ms-office.chartex+xml"/>
  <Override PartName="/xl/charts/style29.xml" ContentType="application/vnd.ms-office.chartstyle+xml"/>
  <Override PartName="/xl/charts/colors29.xml" ContentType="application/vnd.ms-office.chartcolorstyle+xml"/>
  <Override PartName="/xl/charts/chart1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Ex18.xml" ContentType="application/vnd.ms-office.chartex+xml"/>
  <Override PartName="/xl/charts/style31.xml" ContentType="application/vnd.ms-office.chartstyle+xml"/>
  <Override PartName="/xl/charts/colors31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Ex19.xml" ContentType="application/vnd.ms-office.chartex+xml"/>
  <Override PartName="/xl/charts/style33.xml" ContentType="application/vnd.ms-office.chartstyle+xml"/>
  <Override PartName="/xl/charts/colors33.xml" ContentType="application/vnd.ms-office.chartcolorstyle+xml"/>
  <Override PartName="/xl/charts/chartEx20.xml" ContentType="application/vnd.ms-office.chartex+xml"/>
  <Override PartName="/xl/charts/style34.xml" ContentType="application/vnd.ms-office.chartstyle+xml"/>
  <Override PartName="/xl/charts/colors34.xml" ContentType="application/vnd.ms-office.chartcolorstyle+xml"/>
  <Override PartName="/xl/charts/chart1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Ex21.xml" ContentType="application/vnd.ms-office.chartex+xml"/>
  <Override PartName="/xl/charts/style36.xml" ContentType="application/vnd.ms-office.chartstyle+xml"/>
  <Override PartName="/xl/charts/colors36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Ex22.xml" ContentType="application/vnd.ms-office.chartex+xml"/>
  <Override PartName="/xl/charts/style38.xml" ContentType="application/vnd.ms-office.chartstyle+xml"/>
  <Override PartName="/xl/charts/colors38.xml" ContentType="application/vnd.ms-office.chartcolorstyle+xml"/>
  <Override PartName="/xl/charts/chartEx23.xml" ContentType="application/vnd.ms-office.chartex+xml"/>
  <Override PartName="/xl/charts/style39.xml" ContentType="application/vnd.ms-office.chartstyle+xml"/>
  <Override PartName="/xl/charts/colors39.xml" ContentType="application/vnd.ms-office.chartcolorstyle+xml"/>
  <Override PartName="/xl/charts/chart1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Ex24.xml" ContentType="application/vnd.ms-office.chartex+xml"/>
  <Override PartName="/xl/charts/style41.xml" ContentType="application/vnd.ms-office.chartstyle+xml"/>
  <Override PartName="/xl/charts/colors41.xml" ContentType="application/vnd.ms-office.chartcolorstyle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Ex25.xml" ContentType="application/vnd.ms-office.chartex+xml"/>
  <Override PartName="/xl/charts/style43.xml" ContentType="application/vnd.ms-office.chartstyle+xml"/>
  <Override PartName="/xl/charts/colors43.xml" ContentType="application/vnd.ms-office.chartcolorstyle+xml"/>
  <Override PartName="/xl/charts/chartEx26.xml" ContentType="application/vnd.ms-office.chartex+xml"/>
  <Override PartName="/xl/charts/style44.xml" ContentType="application/vnd.ms-office.chartstyle+xml"/>
  <Override PartName="/xl/charts/colors44.xml" ContentType="application/vnd.ms-office.chartcolorstyle+xml"/>
  <Override PartName="/xl/charts/chart19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Ex27.xml" ContentType="application/vnd.ms-office.chartex+xml"/>
  <Override PartName="/xl/charts/style46.xml" ContentType="application/vnd.ms-office.chartstyle+xml"/>
  <Override PartName="/xl/charts/colors46.xml" ContentType="application/vnd.ms-office.chartcolorstyle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Ex28.xml" ContentType="application/vnd.ms-office.chartex+xml"/>
  <Override PartName="/xl/charts/style48.xml" ContentType="application/vnd.ms-office.chartstyle+xml"/>
  <Override PartName="/xl/charts/colors48.xml" ContentType="application/vnd.ms-office.chartcolorstyle+xml"/>
  <Override PartName="/xl/charts/chartEx29.xml" ContentType="application/vnd.ms-office.chartex+xml"/>
  <Override PartName="/xl/charts/style49.xml" ContentType="application/vnd.ms-office.chartstyle+xml"/>
  <Override PartName="/xl/charts/colors49.xml" ContentType="application/vnd.ms-office.chartcolorstyle+xml"/>
  <Override PartName="/xl/charts/chart21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Ex30.xml" ContentType="application/vnd.ms-office.chartex+xml"/>
  <Override PartName="/xl/charts/style51.xml" ContentType="application/vnd.ms-office.chartstyle+xml"/>
  <Override PartName="/xl/charts/colors51.xml" ContentType="application/vnd.ms-office.chartcolorstyle+xml"/>
  <Override PartName="/xl/drawings/drawing12.xml" ContentType="application/vnd.openxmlformats-officedocument.drawing+xml"/>
  <Override PartName="/xl/charts/chart2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Ex31.xml" ContentType="application/vnd.ms-office.chartex+xml"/>
  <Override PartName="/xl/charts/style53.xml" ContentType="application/vnd.ms-office.chartstyle+xml"/>
  <Override PartName="/xl/charts/colors53.xml" ContentType="application/vnd.ms-office.chartcolorstyle+xml"/>
  <Override PartName="/xl/charts/chartEx32.xml" ContentType="application/vnd.ms-office.chartex+xml"/>
  <Override PartName="/xl/charts/style54.xml" ContentType="application/vnd.ms-office.chartstyle+xml"/>
  <Override PartName="/xl/charts/colors54.xml" ContentType="application/vnd.ms-office.chartcolorstyle+xml"/>
  <Override PartName="/xl/charts/chart23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Ex33.xml" ContentType="application/vnd.ms-office.chartex+xml"/>
  <Override PartName="/xl/charts/style56.xml" ContentType="application/vnd.ms-office.chartstyle+xml"/>
  <Override PartName="/xl/charts/colors56.xml" ContentType="application/vnd.ms-office.chartcolorstyle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Ex34.xml" ContentType="application/vnd.ms-office.chartex+xml"/>
  <Override PartName="/xl/charts/style58.xml" ContentType="application/vnd.ms-office.chartstyle+xml"/>
  <Override PartName="/xl/charts/colors58.xml" ContentType="application/vnd.ms-office.chartcolorstyle+xml"/>
  <Override PartName="/xl/charts/chartEx35.xml" ContentType="application/vnd.ms-office.chartex+xml"/>
  <Override PartName="/xl/charts/style59.xml" ContentType="application/vnd.ms-office.chartstyle+xml"/>
  <Override PartName="/xl/charts/colors59.xml" ContentType="application/vnd.ms-office.chartcolorstyle+xml"/>
  <Override PartName="/xl/charts/chart25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Ex36.xml" ContentType="application/vnd.ms-office.chartex+xml"/>
  <Override PartName="/xl/charts/style61.xml" ContentType="application/vnd.ms-office.chartstyle+xml"/>
  <Override PartName="/xl/charts/colors61.xml" ContentType="application/vnd.ms-office.chartcolorstyle+xml"/>
  <Override PartName="/xl/drawings/drawing14.xml" ContentType="application/vnd.openxmlformats-officedocument.drawing+xml"/>
  <Override PartName="/xl/charts/chart26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Ex37.xml" ContentType="application/vnd.ms-office.chartex+xml"/>
  <Override PartName="/xl/charts/style63.xml" ContentType="application/vnd.ms-office.chartstyle+xml"/>
  <Override PartName="/xl/charts/colors63.xml" ContentType="application/vnd.ms-office.chartcolorstyle+xml"/>
  <Override PartName="/xl/charts/chartEx38.xml" ContentType="application/vnd.ms-office.chartex+xml"/>
  <Override PartName="/xl/charts/style64.xml" ContentType="application/vnd.ms-office.chartstyle+xml"/>
  <Override PartName="/xl/charts/colors64.xml" ContentType="application/vnd.ms-office.chartcolorstyle+xml"/>
  <Override PartName="/xl/charts/chartEx39.xml" ContentType="application/vnd.ms-office.chartex+xml"/>
  <Override PartName="/xl/charts/style65.xml" ContentType="application/vnd.ms-office.chartstyle+xml"/>
  <Override PartName="/xl/charts/colors65.xml" ContentType="application/vnd.ms-office.chartcolorstyle+xml"/>
  <Override PartName="/xl/charts/chartEx40.xml" ContentType="application/vnd.ms-office.chartex+xml"/>
  <Override PartName="/xl/charts/style66.xml" ContentType="application/vnd.ms-office.chartstyle+xml"/>
  <Override PartName="/xl/charts/colors6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_m\Downloads\"/>
    </mc:Choice>
  </mc:AlternateContent>
  <xr:revisionPtr revIDLastSave="0" documentId="8_{956E280F-C2FD-4750-A6A7-2F32F5484EAF}" xr6:coauthVersionLast="47" xr6:coauthVersionMax="47" xr10:uidLastSave="{00000000-0000-0000-0000-000000000000}"/>
  <bookViews>
    <workbookView xWindow="-120" yWindow="-120" windowWidth="20730" windowHeight="11040" tabRatio="830" activeTab="1" xr2:uid="{09682C40-23CF-4DE8-88EA-FBA4A39217AF}"/>
  </bookViews>
  <sheets>
    <sheet name="Contenido" sheetId="32" r:id="rId1"/>
    <sheet name="Resultados historicos" sheetId="6" r:id="rId2"/>
    <sheet name="TD historicos" sheetId="7" r:id="rId3"/>
    <sheet name="RN436" sheetId="9" r:id="rId4"/>
    <sheet name="RN525" sheetId="16" r:id="rId5"/>
    <sheet name="RN620" sheetId="17" r:id="rId6"/>
    <sheet name="CM436" sheetId="18" r:id="rId7"/>
    <sheet name="CM525" sheetId="19" r:id="rId8"/>
    <sheet name="CM620" sheetId="20" r:id="rId9"/>
    <sheet name="MN436" sheetId="21" r:id="rId10"/>
    <sheet name="MN525" sheetId="22" r:id="rId11"/>
    <sheet name="MN620" sheetId="23" r:id="rId12"/>
    <sheet name="MO436" sheetId="24" r:id="rId13"/>
    <sheet name="MO525" sheetId="25" r:id="rId14"/>
    <sheet name="MO620" sheetId="26" r:id="rId15"/>
    <sheet name="Estadistico resumen" sheetId="8" r:id="rId16"/>
    <sheet name="Mezclas RN" sheetId="27" r:id="rId17"/>
    <sheet name="Mezclas CM" sheetId="28" r:id="rId18"/>
    <sheet name="Mezclas MN" sheetId="29" r:id="rId19"/>
    <sheet name="Mezclas MO" sheetId="30" r:id="rId20"/>
    <sheet name="Evaluación Usuarios" sheetId="31" r:id="rId21"/>
    <sheet name="Intervalos de confianza" sheetId="12" state="hidden" r:id="rId22"/>
  </sheets>
  <definedNames>
    <definedName name="_xlnm._FilterDatabase" localSheetId="6" hidden="1">'CM436'!$E$3:$F$3</definedName>
    <definedName name="_xlnm._FilterDatabase" localSheetId="7" hidden="1">'CM525'!$E$3:$F$3</definedName>
    <definedName name="_xlnm._FilterDatabase" localSheetId="8" hidden="1">'CM620'!$E$3:$F$3</definedName>
    <definedName name="_xlnm._FilterDatabase" localSheetId="20" hidden="1">'Evaluación Usuarios'!$A$1:$AD$20</definedName>
    <definedName name="_xlnm._FilterDatabase" localSheetId="9" hidden="1">'MN436'!$E$3:$F$3</definedName>
    <definedName name="_xlnm._FilterDatabase" localSheetId="10" hidden="1">'MN525'!$E$3:$F$3</definedName>
    <definedName name="_xlnm._FilterDatabase" localSheetId="11" hidden="1">'MN620'!$E$3:$F$3</definedName>
    <definedName name="_xlnm._FilterDatabase" localSheetId="12" hidden="1">'MO436'!$E$3:$F$3</definedName>
    <definedName name="_xlnm._FilterDatabase" localSheetId="13" hidden="1">'MO525'!$E$3:$F$3</definedName>
    <definedName name="_xlnm._FilterDatabase" localSheetId="14" hidden="1">'MO620'!$E$3:$F$3</definedName>
    <definedName name="_xlnm._FilterDatabase" localSheetId="1" hidden="1">'Resultados historicos'!$A$1:$Y$367</definedName>
    <definedName name="_xlnm._FilterDatabase" localSheetId="3" hidden="1">'RN436'!$E$3:$F$3</definedName>
    <definedName name="_xlnm._FilterDatabase" localSheetId="4" hidden="1">'RN525'!$E$3:$F$3</definedName>
    <definedName name="_xlnm._FilterDatabase" localSheetId="5" hidden="1">'RN620'!$E$3:$F$3</definedName>
    <definedName name="_xlchart.v1.0" hidden="1">'RN436'!$A$4:$B$161</definedName>
    <definedName name="_xlchart.v1.1" hidden="1">'RN436'!$C$4:$C$161</definedName>
    <definedName name="_xlchart.v1.10" hidden="1">'RN620'!$A$4:$B$161</definedName>
    <definedName name="_xlchart.v1.11" hidden="1">'RN620'!$C$4:$C$161</definedName>
    <definedName name="_xlchart.v1.12" hidden="1">'RN620'!$C$4:$C$161</definedName>
    <definedName name="_xlchart.v1.13" hidden="1">'RN620'!$E$4:$E$161</definedName>
    <definedName name="_xlchart.v1.14" hidden="1">'RN620'!$F$4:$F$161</definedName>
    <definedName name="_xlchart.v1.15" hidden="1">'CM436'!$E$4:$E$67</definedName>
    <definedName name="_xlchart.v1.16" hidden="1">'CM436'!$F$4:$F$67</definedName>
    <definedName name="_xlchart.v1.17" hidden="1">'CM436'!$A$4:$B$67</definedName>
    <definedName name="_xlchart.v1.18" hidden="1">'CM436'!$C$4:$C$67</definedName>
    <definedName name="_xlchart.v1.19" hidden="1">'CM436'!$C$4:$C$67</definedName>
    <definedName name="_xlchart.v1.2" hidden="1">'RN436'!$C$4:$C$161</definedName>
    <definedName name="_xlchart.v1.20" hidden="1">'CM525'!$A$4:$B$67</definedName>
    <definedName name="_xlchart.v1.21" hidden="1">'CM525'!$C$4:$C$67</definedName>
    <definedName name="_xlchart.v1.22" hidden="1">'CM525'!$C$4:$C$67</definedName>
    <definedName name="_xlchart.v1.23" hidden="1">'CM525'!$E$4:$E$67</definedName>
    <definedName name="_xlchart.v1.24" hidden="1">'CM525'!$F$4:$F$67</definedName>
    <definedName name="_xlchart.v1.25" hidden="1">'CM620'!$A$4:$B$67</definedName>
    <definedName name="_xlchart.v1.26" hidden="1">'CM620'!$C$4:$C$67</definedName>
    <definedName name="_xlchart.v1.27" hidden="1">'CM620'!$C$4:$C$67</definedName>
    <definedName name="_xlchart.v1.28" hidden="1">'CM620'!$E$4:$E$67</definedName>
    <definedName name="_xlchart.v1.29" hidden="1">'CM620'!$F$4:$F$67</definedName>
    <definedName name="_xlchart.v1.3" hidden="1">'RN436'!$E$4:$E$161</definedName>
    <definedName name="_xlchart.v1.30" hidden="1">'MN436'!$A$4:$B$67</definedName>
    <definedName name="_xlchart.v1.31" hidden="1">'MN436'!$C$4:$C$67</definedName>
    <definedName name="_xlchart.v1.32" hidden="1">'MN436'!$C$4:$C$67</definedName>
    <definedName name="_xlchart.v1.33" hidden="1">'MN436'!$E$4:$E$67</definedName>
    <definedName name="_xlchart.v1.34" hidden="1">'MN436'!$F$4:$F$67</definedName>
    <definedName name="_xlchart.v1.35" hidden="1">'MN525'!$C$4:$C$67</definedName>
    <definedName name="_xlchart.v1.36" hidden="1">'MN525'!$A$4:$B$67</definedName>
    <definedName name="_xlchart.v1.37" hidden="1">'MN525'!$C$4:$C$67</definedName>
    <definedName name="_xlchart.v1.38" hidden="1">'MN525'!$E$4:$E$67</definedName>
    <definedName name="_xlchart.v1.39" hidden="1">'MN525'!$F$4:$F$67</definedName>
    <definedName name="_xlchart.v1.4" hidden="1">'RN436'!$F$4:$F$161</definedName>
    <definedName name="_xlchart.v1.40" hidden="1">'MN620'!$A$4:$B$67</definedName>
    <definedName name="_xlchart.v1.41" hidden="1">'MN620'!$C$4:$C$67</definedName>
    <definedName name="_xlchart.v1.42" hidden="1">'MN620'!$C$4:$C$67</definedName>
    <definedName name="_xlchart.v1.43" hidden="1">'MN620'!$E$4:$E$67</definedName>
    <definedName name="_xlchart.v1.44" hidden="1">'MN620'!$F$4:$F$67</definedName>
    <definedName name="_xlchart.v1.45" hidden="1">'MO436'!$A$4:$B$83</definedName>
    <definedName name="_xlchart.v1.46" hidden="1">'MO436'!$C$4:$C$83</definedName>
    <definedName name="_xlchart.v1.47" hidden="1">'MO436'!$C$4:$C$83</definedName>
    <definedName name="_xlchart.v1.48" hidden="1">'MO436'!$E$4:$E$83</definedName>
    <definedName name="_xlchart.v1.49" hidden="1">'MO436'!$F$4:$F$83</definedName>
    <definedName name="_xlchart.v1.5" hidden="1">'RN525'!$C$4:$C$161</definedName>
    <definedName name="_xlchart.v1.50" hidden="1">'MO525'!$E$4:$E$83</definedName>
    <definedName name="_xlchart.v1.51" hidden="1">'MO525'!$F$4:$F$83</definedName>
    <definedName name="_xlchart.v1.52" hidden="1">'MO525'!$A$4:$B$83</definedName>
    <definedName name="_xlchart.v1.53" hidden="1">'MO525'!$C$4:$C$83</definedName>
    <definedName name="_xlchart.v1.54" hidden="1">'MO525'!$C$4:$C$83</definedName>
    <definedName name="_xlchart.v1.55" hidden="1">'MO620'!$A$4:$B$83</definedName>
    <definedName name="_xlchart.v1.56" hidden="1">'MO620'!$C$4:$C$83</definedName>
    <definedName name="_xlchart.v1.57" hidden="1">'MO620'!$C$4:$C$83</definedName>
    <definedName name="_xlchart.v1.58" hidden="1">'MO620'!$E$4:$E$83</definedName>
    <definedName name="_xlchart.v1.59" hidden="1">'MO620'!$F$4:$F$83</definedName>
    <definedName name="_xlchart.v1.6" hidden="1">'RN525'!$A$4:$B$161</definedName>
    <definedName name="_xlchart.v1.60" hidden="1">'Intervalos de confianza'!$A$13:$B$68</definedName>
    <definedName name="_xlchart.v1.61" hidden="1">'Intervalos de confianza'!$C$13:$C$68</definedName>
    <definedName name="_xlchart.v1.62" hidden="1">'Intervalos de confianza'!$C$13:$C$150</definedName>
    <definedName name="_xlchart.v1.7" hidden="1">'RN525'!$C$4:$C$161</definedName>
    <definedName name="_xlchart.v1.8" hidden="1">'RN525'!$E$4:$E$161</definedName>
    <definedName name="_xlchart.v1.9" hidden="1">'RN525'!$F$4:$F$161</definedName>
  </definedNames>
  <calcPr calcId="191028"/>
  <pivotCaches>
    <pivotCache cacheId="0" r:id="rId2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" i="27" l="1"/>
  <c r="U7" i="27"/>
  <c r="Z6" i="27"/>
  <c r="Z7" i="27"/>
  <c r="Z8" i="27"/>
  <c r="Y8" i="27"/>
  <c r="Y7" i="27"/>
  <c r="E5" i="27"/>
  <c r="E5" i="28"/>
  <c r="N2" i="31" a="1"/>
  <c r="N3" i="31" a="1"/>
  <c r="N4" i="31" a="1"/>
  <c r="N5" i="31" a="1"/>
  <c r="N6" i="31" a="1"/>
  <c r="N7" i="31" a="1"/>
  <c r="N8" i="31" a="1"/>
  <c r="N9" i="31" a="1"/>
  <c r="N11" i="31" a="1"/>
  <c r="N12" i="31" a="1"/>
  <c r="N13" i="31" a="1"/>
  <c r="N14" i="31" a="1"/>
  <c r="N15" i="31" a="1"/>
  <c r="N16" i="31" a="1"/>
  <c r="N17" i="31" a="1"/>
  <c r="N18" i="31" a="1"/>
  <c r="N19" i="31" a="1"/>
  <c r="N20" i="31" a="1"/>
  <c r="N10" i="31" a="1"/>
  <c r="X2" i="31"/>
  <c r="AC2" i="31" s="1"/>
  <c r="X3" i="31"/>
  <c r="AC3" i="31" s="1"/>
  <c r="X4" i="31"/>
  <c r="AC4" i="31" s="1"/>
  <c r="X5" i="31"/>
  <c r="AC5" i="31" s="1"/>
  <c r="X6" i="31"/>
  <c r="AC6" i="31" s="1"/>
  <c r="X7" i="31"/>
  <c r="AC7" i="31" s="1"/>
  <c r="X8" i="31"/>
  <c r="AC8" i="31" s="1"/>
  <c r="U2" i="31"/>
  <c r="AB2" i="31" s="1"/>
  <c r="U3" i="31"/>
  <c r="AB3" i="31" s="1"/>
  <c r="U4" i="31"/>
  <c r="AB4" i="31" s="1"/>
  <c r="U5" i="31"/>
  <c r="AB5" i="31" s="1"/>
  <c r="U6" i="31"/>
  <c r="AB6" i="31" s="1"/>
  <c r="U7" i="31"/>
  <c r="AB7" i="31" s="1"/>
  <c r="R2" i="31"/>
  <c r="AA2" i="31" s="1"/>
  <c r="R3" i="31"/>
  <c r="AA3" i="31" s="1"/>
  <c r="R4" i="31"/>
  <c r="AA4" i="31" s="1"/>
  <c r="R5" i="31"/>
  <c r="AA5" i="31" s="1"/>
  <c r="R6" i="31"/>
  <c r="AA6" i="31" s="1"/>
  <c r="R7" i="31"/>
  <c r="AA7" i="31" s="1"/>
  <c r="X20" i="31"/>
  <c r="AC20" i="31" s="1"/>
  <c r="X19" i="31"/>
  <c r="AC19" i="31" s="1"/>
  <c r="X18" i="31"/>
  <c r="AC18" i="31" s="1"/>
  <c r="X17" i="31"/>
  <c r="AC17" i="31" s="1"/>
  <c r="X16" i="31"/>
  <c r="AC16" i="31" s="1"/>
  <c r="X15" i="31"/>
  <c r="AC15" i="31" s="1"/>
  <c r="X14" i="31"/>
  <c r="AC14" i="31" s="1"/>
  <c r="X13" i="31"/>
  <c r="AC13" i="31" s="1"/>
  <c r="X12" i="31"/>
  <c r="AC12" i="31" s="1"/>
  <c r="X11" i="31"/>
  <c r="AC11" i="31" s="1"/>
  <c r="X10" i="31"/>
  <c r="AC10" i="31" s="1"/>
  <c r="X9" i="31"/>
  <c r="AC9" i="31" s="1"/>
  <c r="U20" i="31"/>
  <c r="AB20" i="31" s="1"/>
  <c r="U19" i="31"/>
  <c r="AB19" i="31" s="1"/>
  <c r="U18" i="31"/>
  <c r="AB18" i="31" s="1"/>
  <c r="U17" i="31"/>
  <c r="AB17" i="31" s="1"/>
  <c r="U16" i="31"/>
  <c r="AB16" i="31" s="1"/>
  <c r="U15" i="31"/>
  <c r="AB15" i="31" s="1"/>
  <c r="U14" i="31"/>
  <c r="AB14" i="31" s="1"/>
  <c r="U13" i="31"/>
  <c r="AB13" i="31" s="1"/>
  <c r="U12" i="31"/>
  <c r="AB12" i="31" s="1"/>
  <c r="U11" i="31"/>
  <c r="AB11" i="31" s="1"/>
  <c r="U10" i="31"/>
  <c r="AB10" i="31" s="1"/>
  <c r="U9" i="31"/>
  <c r="AB9" i="31" s="1"/>
  <c r="U8" i="31"/>
  <c r="AB8" i="31" s="1"/>
  <c r="R20" i="31"/>
  <c r="AA20" i="31" s="1"/>
  <c r="R19" i="31"/>
  <c r="AA19" i="31" s="1"/>
  <c r="R18" i="31"/>
  <c r="AA18" i="31" s="1"/>
  <c r="R17" i="31"/>
  <c r="AA17" i="31" s="1"/>
  <c r="R16" i="31"/>
  <c r="AA16" i="31" s="1"/>
  <c r="R15" i="31"/>
  <c r="AA15" i="31" s="1"/>
  <c r="R14" i="31"/>
  <c r="AA14" i="31" s="1"/>
  <c r="R13" i="31"/>
  <c r="AA13" i="31" s="1"/>
  <c r="R12" i="31"/>
  <c r="AA12" i="31" s="1"/>
  <c r="R11" i="31"/>
  <c r="AA11" i="31" s="1"/>
  <c r="R10" i="31"/>
  <c r="AA10" i="31" s="1"/>
  <c r="R9" i="31"/>
  <c r="AA9" i="31" s="1"/>
  <c r="R8" i="31"/>
  <c r="AA8" i="31" s="1"/>
  <c r="K3" i="31" a="1"/>
  <c r="K4" i="31" a="1"/>
  <c r="K5" i="31" a="1"/>
  <c r="K6" i="31" a="1"/>
  <c r="K7" i="31" a="1"/>
  <c r="K8" i="31" a="1"/>
  <c r="K9" i="31" a="1"/>
  <c r="K10" i="31" a="1"/>
  <c r="K11" i="31" a="1"/>
  <c r="K12" i="31" a="1"/>
  <c r="K13" i="31" a="1"/>
  <c r="K14" i="31" a="1"/>
  <c r="K15" i="31" a="1"/>
  <c r="K16" i="31" a="1"/>
  <c r="K17" i="31" a="1"/>
  <c r="K18" i="31" a="1"/>
  <c r="K19" i="31" a="1"/>
  <c r="K20" i="31" a="1"/>
  <c r="K2" i="31" a="1"/>
  <c r="H2" i="31" a="1"/>
  <c r="H3" i="31" a="1"/>
  <c r="H4" i="31" a="1"/>
  <c r="H5" i="31" a="1"/>
  <c r="H6" i="31" a="1"/>
  <c r="H7" i="31" a="1"/>
  <c r="H8" i="31" a="1"/>
  <c r="H9" i="31" a="1"/>
  <c r="H10" i="31" a="1"/>
  <c r="H11" i="31" a="1"/>
  <c r="H12" i="31" a="1"/>
  <c r="H13" i="31" a="1"/>
  <c r="H14" i="31" a="1"/>
  <c r="H15" i="31" a="1"/>
  <c r="H16" i="31" a="1"/>
  <c r="H17" i="31" a="1"/>
  <c r="H18" i="31" a="1"/>
  <c r="H19" i="31" a="1"/>
  <c r="H20" i="31" a="1"/>
  <c r="D6" i="30" l="1"/>
  <c r="D7" i="30" s="1"/>
  <c r="D8" i="30" s="1"/>
  <c r="D9" i="30" s="1"/>
  <c r="D10" i="30" s="1"/>
  <c r="D11" i="30" s="1"/>
  <c r="D12" i="30" s="1"/>
  <c r="D13" i="30" s="1"/>
  <c r="D14" i="30" s="1"/>
  <c r="D15" i="30" s="1"/>
  <c r="D16" i="30" s="1"/>
  <c r="D17" i="30" s="1"/>
  <c r="D18" i="30" s="1"/>
  <c r="D19" i="30" s="1"/>
  <c r="D20" i="30" s="1"/>
  <c r="D21" i="30" s="1"/>
  <c r="D22" i="30" s="1"/>
  <c r="D23" i="30" s="1"/>
  <c r="D24" i="30" s="1"/>
  <c r="D25" i="30" s="1"/>
  <c r="D26" i="30" s="1"/>
  <c r="D27" i="30" s="1"/>
  <c r="D28" i="30" s="1"/>
  <c r="D29" i="30" s="1"/>
  <c r="D30" i="30" s="1"/>
  <c r="D31" i="30" s="1"/>
  <c r="D32" i="30" s="1"/>
  <c r="D33" i="30" s="1"/>
  <c r="D34" i="30" s="1"/>
  <c r="D35" i="30" s="1"/>
  <c r="D36" i="30" s="1"/>
  <c r="D37" i="30" s="1"/>
  <c r="D38" i="30" s="1"/>
  <c r="D39" i="30" s="1"/>
  <c r="D40" i="30" s="1"/>
  <c r="D41" i="30" s="1"/>
  <c r="D42" i="30" s="1"/>
  <c r="D43" i="30" s="1"/>
  <c r="D44" i="30" s="1"/>
  <c r="D45" i="30" s="1"/>
  <c r="D46" i="30" s="1"/>
  <c r="D47" i="30" s="1"/>
  <c r="D48" i="30" s="1"/>
  <c r="D49" i="30" s="1"/>
  <c r="D50" i="30" s="1"/>
  <c r="D51" i="30" s="1"/>
  <c r="D52" i="30" s="1"/>
  <c r="D53" i="30" s="1"/>
  <c r="D54" i="30" s="1"/>
  <c r="D55" i="30" s="1"/>
  <c r="D56" i="30" s="1"/>
  <c r="D57" i="30" s="1"/>
  <c r="D58" i="30" s="1"/>
  <c r="D59" i="30" s="1"/>
  <c r="D60" i="30" s="1"/>
  <c r="D61" i="30" s="1"/>
  <c r="D62" i="30" s="1"/>
  <c r="D63" i="30" s="1"/>
  <c r="D64" i="30" s="1"/>
  <c r="D65" i="30" s="1"/>
  <c r="D66" i="30" s="1"/>
  <c r="D67" i="30" s="1"/>
  <c r="D68" i="30" s="1"/>
  <c r="D69" i="30" s="1"/>
  <c r="D70" i="30" s="1"/>
  <c r="D71" i="30" s="1"/>
  <c r="D72" i="30" s="1"/>
  <c r="D73" i="30" s="1"/>
  <c r="D74" i="30" s="1"/>
  <c r="D75" i="30" s="1"/>
  <c r="D76" i="30" s="1"/>
  <c r="D77" i="30" s="1"/>
  <c r="D78" i="30" s="1"/>
  <c r="D79" i="30" s="1"/>
  <c r="D6" i="29"/>
  <c r="D7" i="29" s="1"/>
  <c r="D8" i="29" s="1"/>
  <c r="D9" i="29" s="1"/>
  <c r="D10" i="29" s="1"/>
  <c r="D11" i="29" s="1"/>
  <c r="D12" i="29" s="1"/>
  <c r="D13" i="29" s="1"/>
  <c r="D14" i="29" s="1"/>
  <c r="D15" i="29" s="1"/>
  <c r="D16" i="29" s="1"/>
  <c r="D17" i="29" s="1"/>
  <c r="D18" i="29" s="1"/>
  <c r="D19" i="29" s="1"/>
  <c r="D20" i="29" s="1"/>
  <c r="D21" i="29" s="1"/>
  <c r="D22" i="29" s="1"/>
  <c r="D23" i="29" s="1"/>
  <c r="D24" i="29" s="1"/>
  <c r="D25" i="29" s="1"/>
  <c r="D26" i="29" s="1"/>
  <c r="D27" i="29" s="1"/>
  <c r="D28" i="29" s="1"/>
  <c r="D29" i="29" s="1"/>
  <c r="D30" i="29" s="1"/>
  <c r="D31" i="29" s="1"/>
  <c r="D32" i="29" s="1"/>
  <c r="D33" i="29" s="1"/>
  <c r="D34" i="29" s="1"/>
  <c r="D35" i="29" s="1"/>
  <c r="D36" i="29" s="1"/>
  <c r="D37" i="29" s="1"/>
  <c r="D38" i="29" s="1"/>
  <c r="D39" i="29" s="1"/>
  <c r="D40" i="29" s="1"/>
  <c r="D41" i="29" s="1"/>
  <c r="D42" i="29" s="1"/>
  <c r="D43" i="29" s="1"/>
  <c r="D44" i="29" s="1"/>
  <c r="D45" i="29" s="1"/>
  <c r="D46" i="29" s="1"/>
  <c r="D47" i="29" s="1"/>
  <c r="D48" i="29" s="1"/>
  <c r="D49" i="29" s="1"/>
  <c r="D50" i="29" s="1"/>
  <c r="D51" i="29" s="1"/>
  <c r="D52" i="29" s="1"/>
  <c r="D53" i="29" s="1"/>
  <c r="D54" i="29" s="1"/>
  <c r="D55" i="29" s="1"/>
  <c r="D56" i="29" s="1"/>
  <c r="D57" i="29" s="1"/>
  <c r="D58" i="29" s="1"/>
  <c r="D59" i="29" s="1"/>
  <c r="D60" i="29" s="1"/>
  <c r="D61" i="29" s="1"/>
  <c r="D62" i="29" s="1"/>
  <c r="D63" i="29" s="1"/>
  <c r="D64" i="29" s="1"/>
  <c r="D65" i="29" s="1"/>
  <c r="D66" i="29" s="1"/>
  <c r="D67" i="29" s="1"/>
  <c r="D68" i="29" s="1"/>
  <c r="D69" i="29" s="1"/>
  <c r="D70" i="29" s="1"/>
  <c r="D71" i="29" s="1"/>
  <c r="D72" i="29" s="1"/>
  <c r="D73" i="29" s="1"/>
  <c r="D74" i="29" s="1"/>
  <c r="D75" i="29" s="1"/>
  <c r="D76" i="29" s="1"/>
  <c r="D77" i="29" s="1"/>
  <c r="D78" i="29" s="1"/>
  <c r="D79" i="29" s="1"/>
  <c r="D6" i="28"/>
  <c r="D7" i="28" s="1"/>
  <c r="D8" i="28" s="1"/>
  <c r="D9" i="28" s="1"/>
  <c r="D10" i="28" s="1"/>
  <c r="D11" i="28" s="1"/>
  <c r="D12" i="28" s="1"/>
  <c r="D13" i="28" s="1"/>
  <c r="D14" i="28" s="1"/>
  <c r="D15" i="28" s="1"/>
  <c r="D16" i="28" s="1"/>
  <c r="D17" i="28" s="1"/>
  <c r="D18" i="28" s="1"/>
  <c r="D19" i="28" s="1"/>
  <c r="D20" i="28" s="1"/>
  <c r="D21" i="28" s="1"/>
  <c r="D22" i="28" s="1"/>
  <c r="D23" i="28" s="1"/>
  <c r="D24" i="28" s="1"/>
  <c r="D25" i="28" s="1"/>
  <c r="D26" i="28" s="1"/>
  <c r="D27" i="28" s="1"/>
  <c r="D28" i="28" s="1"/>
  <c r="D29" i="28" s="1"/>
  <c r="D30" i="28" s="1"/>
  <c r="D31" i="28" s="1"/>
  <c r="D32" i="28" s="1"/>
  <c r="D33" i="28" s="1"/>
  <c r="D34" i="28" s="1"/>
  <c r="D35" i="28" s="1"/>
  <c r="D36" i="28" s="1"/>
  <c r="D37" i="28" s="1"/>
  <c r="D38" i="28" s="1"/>
  <c r="D39" i="28" s="1"/>
  <c r="D40" i="28" s="1"/>
  <c r="D41" i="28" s="1"/>
  <c r="D42" i="28" s="1"/>
  <c r="D43" i="28" s="1"/>
  <c r="D44" i="28" s="1"/>
  <c r="D45" i="28" s="1"/>
  <c r="D46" i="28" s="1"/>
  <c r="D47" i="28" s="1"/>
  <c r="D48" i="28" s="1"/>
  <c r="D49" i="28" s="1"/>
  <c r="D50" i="28" s="1"/>
  <c r="D51" i="28" s="1"/>
  <c r="D52" i="28" s="1"/>
  <c r="D53" i="28" s="1"/>
  <c r="D54" i="28" s="1"/>
  <c r="D55" i="28" s="1"/>
  <c r="D56" i="28" s="1"/>
  <c r="D57" i="28" s="1"/>
  <c r="D58" i="28" s="1"/>
  <c r="D59" i="28" s="1"/>
  <c r="D60" i="28" s="1"/>
  <c r="D61" i="28" s="1"/>
  <c r="D62" i="28" s="1"/>
  <c r="D63" i="28" s="1"/>
  <c r="D64" i="28" s="1"/>
  <c r="D65" i="28" s="1"/>
  <c r="D66" i="28" s="1"/>
  <c r="D67" i="28" s="1"/>
  <c r="D68" i="28" s="1"/>
  <c r="D69" i="28" s="1"/>
  <c r="D70" i="28" s="1"/>
  <c r="D71" i="28" s="1"/>
  <c r="D72" i="28" s="1"/>
  <c r="D73" i="28" s="1"/>
  <c r="D74" i="28" s="1"/>
  <c r="D75" i="28" s="1"/>
  <c r="D76" i="28" s="1"/>
  <c r="D77" i="28" s="1"/>
  <c r="D78" i="28" s="1"/>
  <c r="D79" i="28" s="1"/>
  <c r="D6" i="27"/>
  <c r="D7" i="27" s="1"/>
  <c r="D8" i="27" s="1"/>
  <c r="D9" i="27" s="1"/>
  <c r="D10" i="27" s="1"/>
  <c r="D11" i="27" s="1"/>
  <c r="D12" i="27" s="1"/>
  <c r="D13" i="27" s="1"/>
  <c r="D14" i="27" s="1"/>
  <c r="D15" i="27" s="1"/>
  <c r="D16" i="27" s="1"/>
  <c r="D17" i="27" s="1"/>
  <c r="D18" i="27" s="1"/>
  <c r="D19" i="27" s="1"/>
  <c r="D20" i="27" s="1"/>
  <c r="D21" i="27" s="1"/>
  <c r="D22" i="27" s="1"/>
  <c r="D23" i="27" s="1"/>
  <c r="D24" i="27" s="1"/>
  <c r="D25" i="27" s="1"/>
  <c r="D26" i="27" s="1"/>
  <c r="D27" i="27" s="1"/>
  <c r="D28" i="27" s="1"/>
  <c r="D29" i="27" s="1"/>
  <c r="D30" i="27" s="1"/>
  <c r="D31" i="27" s="1"/>
  <c r="AD19" i="8"/>
  <c r="AD20" i="8"/>
  <c r="AD21" i="8"/>
  <c r="AD22" i="8"/>
  <c r="AD23" i="8"/>
  <c r="AD24" i="8"/>
  <c r="AD25" i="8"/>
  <c r="AD26" i="8"/>
  <c r="AD27" i="8"/>
  <c r="AD28" i="8"/>
  <c r="AD29" i="8"/>
  <c r="AD30" i="8"/>
  <c r="AD31" i="8"/>
  <c r="AD18" i="8"/>
  <c r="AD10" i="8"/>
  <c r="AD11" i="8"/>
  <c r="AD12" i="8"/>
  <c r="AD13" i="8"/>
  <c r="AD14" i="8"/>
  <c r="AD15" i="8"/>
  <c r="AD16" i="8"/>
  <c r="AD17" i="8"/>
  <c r="AC9" i="8"/>
  <c r="AD9" i="8"/>
  <c r="AD7" i="8"/>
  <c r="Q9" i="8"/>
  <c r="AC10" i="8"/>
  <c r="AC11" i="8"/>
  <c r="AC12" i="8"/>
  <c r="AC13" i="8"/>
  <c r="AC14" i="8"/>
  <c r="AC15" i="8"/>
  <c r="AC16" i="8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B9" i="8"/>
  <c r="AB11" i="8"/>
  <c r="AB10" i="8"/>
  <c r="AB12" i="8"/>
  <c r="AB13" i="8"/>
  <c r="AB14" i="8"/>
  <c r="AB15" i="8"/>
  <c r="AB16" i="8"/>
  <c r="AB17" i="8"/>
  <c r="AB18" i="8"/>
  <c r="AB19" i="8"/>
  <c r="AB20" i="8"/>
  <c r="AB21" i="8"/>
  <c r="AB22" i="8"/>
  <c r="AB23" i="8"/>
  <c r="AB24" i="8"/>
  <c r="AB25" i="8"/>
  <c r="AB26" i="8"/>
  <c r="AB27" i="8"/>
  <c r="AB28" i="8"/>
  <c r="AB29" i="8"/>
  <c r="AB30" i="8"/>
  <c r="AB31" i="8"/>
  <c r="P9" i="8"/>
  <c r="AD6" i="8"/>
  <c r="AD5" i="8"/>
  <c r="AD3" i="8"/>
  <c r="Q3" i="8"/>
  <c r="AC7" i="8"/>
  <c r="AC6" i="8"/>
  <c r="AC5" i="8"/>
  <c r="AC3" i="8"/>
  <c r="AB3" i="8"/>
  <c r="B5" i="27" s="1"/>
  <c r="B6" i="27" s="1"/>
  <c r="B7" i="27" s="1"/>
  <c r="B8" i="27" s="1"/>
  <c r="B9" i="27" s="1"/>
  <c r="B10" i="27" s="1"/>
  <c r="B11" i="27" s="1"/>
  <c r="B12" i="27" s="1"/>
  <c r="B13" i="27" s="1"/>
  <c r="B14" i="27" s="1"/>
  <c r="B15" i="27" s="1"/>
  <c r="B16" i="27" s="1"/>
  <c r="B17" i="27" s="1"/>
  <c r="B18" i="27" s="1"/>
  <c r="B19" i="27" s="1"/>
  <c r="B20" i="27" s="1"/>
  <c r="B21" i="27" s="1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AB5" i="8"/>
  <c r="B5" i="30" s="1"/>
  <c r="B6" i="30" s="1"/>
  <c r="B7" i="30" s="1"/>
  <c r="B8" i="30" s="1"/>
  <c r="B9" i="30" s="1"/>
  <c r="B10" i="30" s="1"/>
  <c r="B11" i="30" s="1"/>
  <c r="B12" i="30" s="1"/>
  <c r="B13" i="30" s="1"/>
  <c r="B14" i="30" s="1"/>
  <c r="B15" i="30" s="1"/>
  <c r="B16" i="30" s="1"/>
  <c r="B17" i="30" s="1"/>
  <c r="B18" i="30" s="1"/>
  <c r="B19" i="30" s="1"/>
  <c r="B20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50" i="30" s="1"/>
  <c r="B51" i="30" s="1"/>
  <c r="B52" i="30" s="1"/>
  <c r="B53" i="30" s="1"/>
  <c r="B54" i="30" s="1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B65" i="30" s="1"/>
  <c r="B66" i="30" s="1"/>
  <c r="B67" i="30" s="1"/>
  <c r="B68" i="30" s="1"/>
  <c r="B69" i="30" s="1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AB6" i="8"/>
  <c r="B5" i="29" s="1"/>
  <c r="B6" i="29" s="1"/>
  <c r="B7" i="29" s="1"/>
  <c r="B8" i="29" s="1"/>
  <c r="B9" i="29" s="1"/>
  <c r="B10" i="29" s="1"/>
  <c r="B11" i="29" s="1"/>
  <c r="B12" i="29" s="1"/>
  <c r="B13" i="29" s="1"/>
  <c r="B14" i="29" s="1"/>
  <c r="B15" i="29" s="1"/>
  <c r="B16" i="29" s="1"/>
  <c r="B17" i="29" s="1"/>
  <c r="B18" i="29" s="1"/>
  <c r="B19" i="29" s="1"/>
  <c r="B20" i="29" s="1"/>
  <c r="B21" i="29" s="1"/>
  <c r="B22" i="29" s="1"/>
  <c r="B23" i="29" s="1"/>
  <c r="B24" i="29" s="1"/>
  <c r="B25" i="29" s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AB7" i="8"/>
  <c r="B5" i="28" s="1"/>
  <c r="B6" i="28" s="1"/>
  <c r="B7" i="28" s="1"/>
  <c r="B8" i="28" s="1"/>
  <c r="B9" i="28" s="1"/>
  <c r="B10" i="28" s="1"/>
  <c r="B11" i="28" s="1"/>
  <c r="B12" i="28" s="1"/>
  <c r="B13" i="28" s="1"/>
  <c r="B14" i="28" s="1"/>
  <c r="B15" i="28" s="1"/>
  <c r="B16" i="28" s="1"/>
  <c r="B17" i="28" s="1"/>
  <c r="B18" i="28" s="1"/>
  <c r="B19" i="28" s="1"/>
  <c r="B20" i="28" s="1"/>
  <c r="B21" i="28" s="1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51" i="28" s="1"/>
  <c r="B52" i="28" s="1"/>
  <c r="B53" i="28" s="1"/>
  <c r="B54" i="28" s="1"/>
  <c r="B55" i="28" s="1"/>
  <c r="B56" i="28" s="1"/>
  <c r="B57" i="28" s="1"/>
  <c r="B58" i="28" s="1"/>
  <c r="B59" i="28" s="1"/>
  <c r="B60" i="28" s="1"/>
  <c r="B61" i="28" s="1"/>
  <c r="B62" i="28" s="1"/>
  <c r="B63" i="28" s="1"/>
  <c r="B64" i="28" s="1"/>
  <c r="B65" i="28" s="1"/>
  <c r="B66" i="28" s="1"/>
  <c r="B67" i="28" s="1"/>
  <c r="B68" i="28" s="1"/>
  <c r="B69" i="28" s="1"/>
  <c r="B70" i="28" s="1"/>
  <c r="B71" i="28" s="1"/>
  <c r="B72" i="28" s="1"/>
  <c r="B73" i="28" s="1"/>
  <c r="B74" i="28" s="1"/>
  <c r="B75" i="28" s="1"/>
  <c r="B76" i="28" s="1"/>
  <c r="B77" i="28" s="1"/>
  <c r="B78" i="28" s="1"/>
  <c r="B79" i="28" s="1"/>
  <c r="H3" i="8"/>
  <c r="Y25" i="9"/>
  <c r="Y1" i="8"/>
  <c r="W1" i="8"/>
  <c r="U1" i="8"/>
  <c r="Y25" i="26"/>
  <c r="Y24" i="26"/>
  <c r="X24" i="26"/>
  <c r="X25" i="26" s="1"/>
  <c r="W24" i="26"/>
  <c r="W25" i="26" s="1"/>
  <c r="Y24" i="25"/>
  <c r="Y25" i="25" s="1"/>
  <c r="X24" i="25"/>
  <c r="X25" i="25" s="1"/>
  <c r="W24" i="25"/>
  <c r="W25" i="25" s="1"/>
  <c r="Y25" i="24"/>
  <c r="X25" i="24"/>
  <c r="W25" i="24"/>
  <c r="Y24" i="24"/>
  <c r="X24" i="24"/>
  <c r="W24" i="24"/>
  <c r="W25" i="23"/>
  <c r="Y24" i="23"/>
  <c r="Y25" i="23" s="1"/>
  <c r="X24" i="23"/>
  <c r="X25" i="23" s="1"/>
  <c r="W24" i="23"/>
  <c r="Y25" i="22"/>
  <c r="W25" i="22"/>
  <c r="Y24" i="22"/>
  <c r="X24" i="22"/>
  <c r="X25" i="22" s="1"/>
  <c r="W24" i="22"/>
  <c r="Y25" i="21"/>
  <c r="X25" i="21"/>
  <c r="W25" i="21"/>
  <c r="Y24" i="21"/>
  <c r="X24" i="21"/>
  <c r="W24" i="21"/>
  <c r="W25" i="20"/>
  <c r="Y24" i="20"/>
  <c r="Y25" i="20" s="1"/>
  <c r="X24" i="20"/>
  <c r="X25" i="20" s="1"/>
  <c r="W24" i="20"/>
  <c r="Y25" i="19"/>
  <c r="X25" i="19"/>
  <c r="W25" i="19"/>
  <c r="Y24" i="19"/>
  <c r="X24" i="19"/>
  <c r="W24" i="19"/>
  <c r="X25" i="18"/>
  <c r="W25" i="18"/>
  <c r="Y24" i="18"/>
  <c r="Y25" i="18" s="1"/>
  <c r="X24" i="18"/>
  <c r="W24" i="18"/>
  <c r="W25" i="17"/>
  <c r="Y24" i="17"/>
  <c r="Y25" i="17" s="1"/>
  <c r="X24" i="17"/>
  <c r="X25" i="17" s="1"/>
  <c r="W24" i="17"/>
  <c r="Y25" i="16"/>
  <c r="X25" i="16"/>
  <c r="W25" i="16"/>
  <c r="Y24" i="16"/>
  <c r="X24" i="16"/>
  <c r="W24" i="16"/>
  <c r="X24" i="9"/>
  <c r="X25" i="9" s="1"/>
  <c r="W24" i="9"/>
  <c r="W25" i="9" s="1"/>
  <c r="Y24" i="9"/>
  <c r="D32" i="27" l="1"/>
  <c r="D33" i="27" s="1"/>
  <c r="D34" i="27" s="1"/>
  <c r="D35" i="27" s="1"/>
  <c r="D36" i="27" s="1"/>
  <c r="D37" i="27" s="1"/>
  <c r="D38" i="27" s="1"/>
  <c r="D39" i="27" s="1"/>
  <c r="D40" i="27" s="1"/>
  <c r="D41" i="27" s="1"/>
  <c r="D42" i="27" s="1"/>
  <c r="D43" i="27" s="1"/>
  <c r="D44" i="27" s="1"/>
  <c r="D45" i="27" s="1"/>
  <c r="D46" i="27" s="1"/>
  <c r="D47" i="27" s="1"/>
  <c r="D48" i="27" s="1"/>
  <c r="D49" i="27" s="1"/>
  <c r="D50" i="27" s="1"/>
  <c r="D51" i="27" s="1"/>
  <c r="D52" i="27" s="1"/>
  <c r="D53" i="27" s="1"/>
  <c r="D54" i="27" s="1"/>
  <c r="D55" i="27" s="1"/>
  <c r="D56" i="27" s="1"/>
  <c r="D57" i="27" s="1"/>
  <c r="B47" i="27"/>
  <c r="B48" i="27" s="1"/>
  <c r="B49" i="27" s="1"/>
  <c r="B50" i="27" s="1"/>
  <c r="B51" i="27" s="1"/>
  <c r="B52" i="27" s="1"/>
  <c r="B53" i="27" s="1"/>
  <c r="B54" i="27" s="1"/>
  <c r="B55" i="27" s="1"/>
  <c r="B56" i="27" s="1"/>
  <c r="B57" i="27" s="1"/>
  <c r="B58" i="27" s="1"/>
  <c r="B59" i="27" s="1"/>
  <c r="D58" i="27" l="1"/>
  <c r="B60" i="27"/>
  <c r="D59" i="27" l="1"/>
  <c r="B61" i="27"/>
  <c r="D60" i="27" l="1"/>
  <c r="B62" i="27"/>
  <c r="D61" i="27" l="1"/>
  <c r="B63" i="27"/>
  <c r="D62" i="27" l="1"/>
  <c r="B64" i="27"/>
  <c r="D63" i="27" l="1"/>
  <c r="B65" i="27"/>
  <c r="I36" i="26"/>
  <c r="J36" i="26" s="1"/>
  <c r="J31" i="26"/>
  <c r="P22" i="26" s="1"/>
  <c r="H30" i="26"/>
  <c r="C3" i="26" s="1"/>
  <c r="T22" i="26"/>
  <c r="S22" i="26"/>
  <c r="R22" i="26"/>
  <c r="Q22" i="26"/>
  <c r="D4" i="26" a="1"/>
  <c r="O23" i="26" s="1" a="1"/>
  <c r="C4" i="26" a="1"/>
  <c r="B4" i="26" a="1"/>
  <c r="A4" i="26" a="1"/>
  <c r="H32" i="26" s="1" a="1"/>
  <c r="I36" i="25"/>
  <c r="K36" i="25" s="1"/>
  <c r="J31" i="25"/>
  <c r="P22" i="25" s="1"/>
  <c r="H30" i="25"/>
  <c r="O21" i="25" s="1"/>
  <c r="W21" i="25" s="1"/>
  <c r="T22" i="25"/>
  <c r="S22" i="25"/>
  <c r="R22" i="25"/>
  <c r="Q22" i="25"/>
  <c r="D4" i="25" a="1"/>
  <c r="O23" i="25" s="1" a="1"/>
  <c r="C4" i="25" a="1"/>
  <c r="B4" i="25" a="1"/>
  <c r="A4" i="25" a="1"/>
  <c r="H32" i="25" s="1" a="1"/>
  <c r="C3" i="25"/>
  <c r="I36" i="24"/>
  <c r="J36" i="24" s="1"/>
  <c r="J31" i="24"/>
  <c r="P22" i="24" s="1"/>
  <c r="H30" i="24"/>
  <c r="O21" i="24" s="1"/>
  <c r="W21" i="24" s="1"/>
  <c r="T22" i="24"/>
  <c r="S22" i="24"/>
  <c r="R22" i="24"/>
  <c r="Q22" i="24"/>
  <c r="D4" i="24" a="1"/>
  <c r="O23" i="24" s="1" a="1"/>
  <c r="C4" i="24" a="1"/>
  <c r="B4" i="24" a="1"/>
  <c r="A4" i="24" a="1"/>
  <c r="H32" i="24" s="1" a="1"/>
  <c r="J31" i="23"/>
  <c r="P22" i="23" s="1"/>
  <c r="H30" i="23"/>
  <c r="C3" i="23" s="1"/>
  <c r="T22" i="23"/>
  <c r="S22" i="23"/>
  <c r="R22" i="23"/>
  <c r="Q22" i="23"/>
  <c r="D4" i="23" a="1"/>
  <c r="O23" i="23" s="1" a="1"/>
  <c r="C4" i="23" a="1"/>
  <c r="B4" i="23" a="1"/>
  <c r="A4" i="23" a="1"/>
  <c r="H32" i="23" s="1" a="1"/>
  <c r="J31" i="22"/>
  <c r="P22" i="22" s="1"/>
  <c r="H30" i="22"/>
  <c r="C3" i="22" s="1"/>
  <c r="T22" i="22"/>
  <c r="S22" i="22"/>
  <c r="R22" i="22"/>
  <c r="Q22" i="22"/>
  <c r="D4" i="22" a="1"/>
  <c r="O23" i="22" s="1" a="1"/>
  <c r="C4" i="22" a="1"/>
  <c r="B4" i="22" a="1"/>
  <c r="A4" i="22" a="1"/>
  <c r="H32" i="22" s="1" a="1"/>
  <c r="J31" i="21"/>
  <c r="P22" i="21" s="1"/>
  <c r="H30" i="21"/>
  <c r="C3" i="21" s="1"/>
  <c r="T22" i="21"/>
  <c r="S22" i="21"/>
  <c r="R22" i="21"/>
  <c r="Q22" i="21"/>
  <c r="D4" i="21" a="1"/>
  <c r="O23" i="21" s="1" a="1"/>
  <c r="C4" i="21" a="1"/>
  <c r="B4" i="21" a="1"/>
  <c r="A4" i="21" a="1"/>
  <c r="H32" i="21" s="1" a="1"/>
  <c r="H30" i="20"/>
  <c r="O21" i="20" s="1"/>
  <c r="W21" i="20" s="1"/>
  <c r="C4" i="20" a="1"/>
  <c r="J31" i="20"/>
  <c r="P22" i="20" s="1"/>
  <c r="T22" i="20"/>
  <c r="S22" i="20"/>
  <c r="R22" i="20"/>
  <c r="Q22" i="20"/>
  <c r="D4" i="20" a="1"/>
  <c r="O23" i="20" s="1" a="1"/>
  <c r="B4" i="20" a="1"/>
  <c r="A4" i="20" a="1"/>
  <c r="H32" i="20" s="1" a="1"/>
  <c r="C4" i="19" a="1"/>
  <c r="H30" i="19"/>
  <c r="O21" i="19" s="1"/>
  <c r="W21" i="19" s="1"/>
  <c r="J31" i="19"/>
  <c r="P22" i="19" s="1"/>
  <c r="T22" i="19"/>
  <c r="S22" i="19"/>
  <c r="R22" i="19"/>
  <c r="Q22" i="19"/>
  <c r="D4" i="19" a="1"/>
  <c r="O23" i="19" s="1" a="1"/>
  <c r="B4" i="19" a="1"/>
  <c r="A4" i="19" a="1"/>
  <c r="H32" i="19" s="1" a="1"/>
  <c r="J31" i="18"/>
  <c r="P22" i="18" s="1"/>
  <c r="H30" i="18"/>
  <c r="O21" i="18" s="1"/>
  <c r="W21" i="18" s="1"/>
  <c r="T22" i="18"/>
  <c r="S22" i="18"/>
  <c r="R22" i="18"/>
  <c r="Q22" i="18"/>
  <c r="D4" i="18" a="1"/>
  <c r="O23" i="18" s="1" a="1"/>
  <c r="C4" i="18" a="1"/>
  <c r="B4" i="18" a="1"/>
  <c r="A4" i="18" a="1"/>
  <c r="H32" i="18" s="1" a="1"/>
  <c r="A4" i="9" a="1"/>
  <c r="H32" i="9" s="1" a="1"/>
  <c r="R12" i="12"/>
  <c r="H30" i="17"/>
  <c r="C4" i="17" a="1"/>
  <c r="J31" i="17"/>
  <c r="P22" i="17" s="1"/>
  <c r="T22" i="17"/>
  <c r="S22" i="17"/>
  <c r="R22" i="17"/>
  <c r="Q22" i="17"/>
  <c r="D4" i="17" a="1"/>
  <c r="O23" i="17" s="1" a="1"/>
  <c r="B4" i="17" a="1"/>
  <c r="A4" i="17" a="1"/>
  <c r="H32" i="17" s="1" a="1"/>
  <c r="H30" i="16"/>
  <c r="C4" i="16" a="1"/>
  <c r="J31" i="16"/>
  <c r="P22" i="16" s="1"/>
  <c r="T22" i="16"/>
  <c r="S22" i="16"/>
  <c r="R22" i="16"/>
  <c r="Q22" i="16"/>
  <c r="D4" i="16" a="1"/>
  <c r="O23" i="16" s="1" a="1"/>
  <c r="B4" i="16" a="1"/>
  <c r="A4" i="16" a="1"/>
  <c r="H32" i="16" s="1" a="1"/>
  <c r="J9" i="8" a="1"/>
  <c r="Q22" i="9"/>
  <c r="R22" i="9"/>
  <c r="S22" i="9"/>
  <c r="T22" i="9"/>
  <c r="D4" i="9" a="1"/>
  <c r="O23" i="9" s="1" a="1"/>
  <c r="C4" i="9" a="1"/>
  <c r="B4" i="9" a="1"/>
  <c r="H30" i="9"/>
  <c r="C3" i="9" s="1"/>
  <c r="J31" i="9"/>
  <c r="P22" i="9" s="1"/>
  <c r="O10" i="8"/>
  <c r="P10" i="8"/>
  <c r="Q10" i="8"/>
  <c r="R10" i="8" a="1"/>
  <c r="O11" i="8"/>
  <c r="P11" i="8"/>
  <c r="Q11" i="8"/>
  <c r="R11" i="8" a="1"/>
  <c r="O12" i="8"/>
  <c r="P12" i="8"/>
  <c r="Q12" i="8"/>
  <c r="R12" i="8" a="1"/>
  <c r="O13" i="8"/>
  <c r="P13" i="8"/>
  <c r="Q13" i="8"/>
  <c r="R13" i="8" a="1"/>
  <c r="O14" i="8"/>
  <c r="P14" i="8"/>
  <c r="Q14" i="8"/>
  <c r="R14" i="8" a="1"/>
  <c r="O15" i="8"/>
  <c r="P15" i="8"/>
  <c r="Q15" i="8"/>
  <c r="R15" i="8" a="1"/>
  <c r="O16" i="8"/>
  <c r="P16" i="8"/>
  <c r="Q16" i="8"/>
  <c r="R16" i="8" a="1"/>
  <c r="O17" i="8"/>
  <c r="P17" i="8"/>
  <c r="Q17" i="8"/>
  <c r="R17" i="8" a="1"/>
  <c r="O18" i="8"/>
  <c r="P18" i="8"/>
  <c r="Q18" i="8"/>
  <c r="R18" i="8" a="1"/>
  <c r="O19" i="8"/>
  <c r="P19" i="8"/>
  <c r="Q19" i="8"/>
  <c r="R19" i="8" a="1"/>
  <c r="O20" i="8"/>
  <c r="P20" i="8"/>
  <c r="Q20" i="8"/>
  <c r="R20" i="8" a="1"/>
  <c r="O21" i="8"/>
  <c r="P21" i="8"/>
  <c r="Q21" i="8"/>
  <c r="R21" i="8" a="1"/>
  <c r="O22" i="8"/>
  <c r="P22" i="8"/>
  <c r="Q22" i="8"/>
  <c r="R22" i="8" a="1"/>
  <c r="O23" i="8"/>
  <c r="P23" i="8"/>
  <c r="Q23" i="8"/>
  <c r="R23" i="8" a="1"/>
  <c r="O24" i="8"/>
  <c r="P24" i="8"/>
  <c r="Q24" i="8"/>
  <c r="R24" i="8" a="1"/>
  <c r="O25" i="8"/>
  <c r="P25" i="8"/>
  <c r="Q25" i="8"/>
  <c r="R25" i="8" a="1"/>
  <c r="O26" i="8"/>
  <c r="P26" i="8"/>
  <c r="Q26" i="8"/>
  <c r="R26" i="8" a="1"/>
  <c r="O27" i="8"/>
  <c r="P27" i="8"/>
  <c r="Q27" i="8"/>
  <c r="R27" i="8" a="1"/>
  <c r="O28" i="8"/>
  <c r="P28" i="8"/>
  <c r="Q28" i="8"/>
  <c r="R28" i="8" a="1"/>
  <c r="O29" i="8"/>
  <c r="P29" i="8"/>
  <c r="Q29" i="8"/>
  <c r="R29" i="8" a="1"/>
  <c r="O30" i="8"/>
  <c r="P30" i="8"/>
  <c r="Q30" i="8"/>
  <c r="R30" i="8" a="1"/>
  <c r="O31" i="8"/>
  <c r="P31" i="8"/>
  <c r="Q31" i="8"/>
  <c r="R31" i="8" a="1"/>
  <c r="R9" i="8" a="1"/>
  <c r="O9" i="8"/>
  <c r="O5" i="8"/>
  <c r="P5" i="8"/>
  <c r="Q5" i="8"/>
  <c r="R5" i="8" a="1"/>
  <c r="O6" i="8"/>
  <c r="P6" i="8"/>
  <c r="Q6" i="8"/>
  <c r="R6" i="8" a="1"/>
  <c r="O7" i="8"/>
  <c r="P7" i="8"/>
  <c r="Q7" i="8"/>
  <c r="R7" i="8" a="1"/>
  <c r="N5" i="8" a="1"/>
  <c r="N6" i="8" a="1"/>
  <c r="N7" i="8" a="1"/>
  <c r="N3" i="8" a="1"/>
  <c r="R3" i="8" a="1"/>
  <c r="P3" i="8"/>
  <c r="O3" i="8"/>
  <c r="K10" i="8"/>
  <c r="L10" i="8"/>
  <c r="M10" i="8"/>
  <c r="N10" i="8" a="1"/>
  <c r="K11" i="8"/>
  <c r="L11" i="8"/>
  <c r="M11" i="8"/>
  <c r="N11" i="8" a="1"/>
  <c r="K12" i="8"/>
  <c r="L12" i="8"/>
  <c r="M12" i="8"/>
  <c r="N12" i="8" a="1"/>
  <c r="K13" i="8"/>
  <c r="L13" i="8"/>
  <c r="M13" i="8"/>
  <c r="N13" i="8" a="1"/>
  <c r="K14" i="8"/>
  <c r="L14" i="8"/>
  <c r="M14" i="8"/>
  <c r="N14" i="8" a="1"/>
  <c r="K15" i="8"/>
  <c r="L15" i="8"/>
  <c r="M15" i="8"/>
  <c r="N15" i="8" a="1"/>
  <c r="K16" i="8"/>
  <c r="L16" i="8"/>
  <c r="M16" i="8"/>
  <c r="N16" i="8" a="1"/>
  <c r="K17" i="8"/>
  <c r="L17" i="8"/>
  <c r="M17" i="8"/>
  <c r="N17" i="8" a="1"/>
  <c r="K18" i="8"/>
  <c r="L18" i="8"/>
  <c r="M18" i="8"/>
  <c r="N18" i="8" a="1"/>
  <c r="K19" i="8"/>
  <c r="L19" i="8"/>
  <c r="M19" i="8"/>
  <c r="N19" i="8" a="1"/>
  <c r="K20" i="8"/>
  <c r="L20" i="8"/>
  <c r="M20" i="8"/>
  <c r="N20" i="8" a="1"/>
  <c r="K21" i="8"/>
  <c r="L21" i="8"/>
  <c r="M21" i="8"/>
  <c r="N21" i="8" a="1"/>
  <c r="K22" i="8"/>
  <c r="L22" i="8"/>
  <c r="M22" i="8"/>
  <c r="N22" i="8" a="1"/>
  <c r="K23" i="8"/>
  <c r="L23" i="8"/>
  <c r="M23" i="8"/>
  <c r="N23" i="8" a="1"/>
  <c r="K24" i="8"/>
  <c r="L24" i="8"/>
  <c r="M24" i="8"/>
  <c r="N24" i="8" a="1"/>
  <c r="K25" i="8"/>
  <c r="L25" i="8"/>
  <c r="M25" i="8"/>
  <c r="N25" i="8" a="1"/>
  <c r="K26" i="8"/>
  <c r="L26" i="8"/>
  <c r="M26" i="8"/>
  <c r="N26" i="8" a="1"/>
  <c r="K27" i="8"/>
  <c r="L27" i="8"/>
  <c r="M27" i="8"/>
  <c r="N27" i="8" a="1"/>
  <c r="K28" i="8"/>
  <c r="L28" i="8"/>
  <c r="M28" i="8"/>
  <c r="N28" i="8" a="1"/>
  <c r="K29" i="8"/>
  <c r="L29" i="8"/>
  <c r="M29" i="8"/>
  <c r="N29" i="8" a="1"/>
  <c r="K30" i="8"/>
  <c r="L30" i="8"/>
  <c r="M30" i="8"/>
  <c r="N30" i="8" a="1"/>
  <c r="K31" i="8"/>
  <c r="L31" i="8"/>
  <c r="M31" i="8"/>
  <c r="N31" i="8" a="1"/>
  <c r="N9" i="8" a="1"/>
  <c r="M9" i="8"/>
  <c r="L9" i="8"/>
  <c r="K9" i="8"/>
  <c r="K5" i="8"/>
  <c r="L5" i="8"/>
  <c r="M5" i="8"/>
  <c r="K6" i="8"/>
  <c r="L6" i="8"/>
  <c r="M6" i="8"/>
  <c r="K7" i="8"/>
  <c r="L7" i="8"/>
  <c r="M7" i="8"/>
  <c r="M3" i="8"/>
  <c r="L3" i="8"/>
  <c r="K3" i="8"/>
  <c r="G10" i="8"/>
  <c r="H10" i="8"/>
  <c r="I10" i="8"/>
  <c r="J10" i="8" a="1"/>
  <c r="G11" i="8"/>
  <c r="H11" i="8"/>
  <c r="I11" i="8"/>
  <c r="J11" i="8" a="1"/>
  <c r="G12" i="8"/>
  <c r="H12" i="8"/>
  <c r="I12" i="8"/>
  <c r="J12" i="8" a="1"/>
  <c r="G13" i="8"/>
  <c r="H13" i="8"/>
  <c r="I13" i="8"/>
  <c r="J13" i="8" a="1"/>
  <c r="G14" i="8"/>
  <c r="H14" i="8"/>
  <c r="I14" i="8"/>
  <c r="J14" i="8" a="1"/>
  <c r="G15" i="8"/>
  <c r="H15" i="8"/>
  <c r="I15" i="8"/>
  <c r="J15" i="8" a="1"/>
  <c r="G16" i="8"/>
  <c r="H16" i="8"/>
  <c r="I16" i="8"/>
  <c r="J16" i="8" a="1"/>
  <c r="G17" i="8"/>
  <c r="H17" i="8"/>
  <c r="I17" i="8"/>
  <c r="J17" i="8" a="1"/>
  <c r="G18" i="8"/>
  <c r="H18" i="8"/>
  <c r="I18" i="8"/>
  <c r="J18" i="8" a="1"/>
  <c r="G19" i="8"/>
  <c r="H19" i="8"/>
  <c r="I19" i="8"/>
  <c r="J19" i="8" a="1"/>
  <c r="G20" i="8"/>
  <c r="H20" i="8"/>
  <c r="I20" i="8"/>
  <c r="J20" i="8" a="1"/>
  <c r="G21" i="8"/>
  <c r="H21" i="8"/>
  <c r="I21" i="8"/>
  <c r="J21" i="8" a="1"/>
  <c r="G22" i="8"/>
  <c r="H22" i="8"/>
  <c r="I22" i="8"/>
  <c r="J22" i="8" a="1"/>
  <c r="G23" i="8"/>
  <c r="H23" i="8"/>
  <c r="I23" i="8"/>
  <c r="J23" i="8" a="1"/>
  <c r="G24" i="8"/>
  <c r="H24" i="8"/>
  <c r="I24" i="8"/>
  <c r="J24" i="8" a="1"/>
  <c r="G25" i="8"/>
  <c r="H25" i="8"/>
  <c r="I25" i="8"/>
  <c r="J25" i="8" a="1"/>
  <c r="G26" i="8"/>
  <c r="H26" i="8"/>
  <c r="I26" i="8"/>
  <c r="J26" i="8" a="1"/>
  <c r="G27" i="8"/>
  <c r="H27" i="8"/>
  <c r="I27" i="8"/>
  <c r="J27" i="8" a="1"/>
  <c r="G28" i="8"/>
  <c r="H28" i="8"/>
  <c r="I28" i="8"/>
  <c r="J28" i="8" a="1"/>
  <c r="G29" i="8"/>
  <c r="H29" i="8"/>
  <c r="I29" i="8"/>
  <c r="J29" i="8" a="1"/>
  <c r="G30" i="8"/>
  <c r="H30" i="8"/>
  <c r="I30" i="8"/>
  <c r="J30" i="8" a="1"/>
  <c r="G31" i="8"/>
  <c r="H31" i="8"/>
  <c r="I31" i="8"/>
  <c r="J31" i="8" a="1"/>
  <c r="I9" i="8"/>
  <c r="H9" i="8"/>
  <c r="G9" i="8"/>
  <c r="J5" i="8" a="1"/>
  <c r="J6" i="8" a="1"/>
  <c r="J7" i="8" a="1"/>
  <c r="J3" i="8" a="1"/>
  <c r="I5" i="8"/>
  <c r="I6" i="8"/>
  <c r="I7" i="8"/>
  <c r="I3" i="8"/>
  <c r="H5" i="8"/>
  <c r="H6" i="8"/>
  <c r="H7" i="8"/>
  <c r="G5" i="8"/>
  <c r="G6" i="8"/>
  <c r="G7" i="8"/>
  <c r="G3" i="8"/>
  <c r="F9" i="8"/>
  <c r="E9" i="8"/>
  <c r="E3" i="8"/>
  <c r="F25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6" i="8"/>
  <c r="F27" i="8"/>
  <c r="F28" i="8"/>
  <c r="F29" i="8"/>
  <c r="F30" i="8"/>
  <c r="F31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F5" i="8"/>
  <c r="F6" i="8"/>
  <c r="F7" i="8"/>
  <c r="F3" i="8"/>
  <c r="E5" i="8"/>
  <c r="E6" i="8"/>
  <c r="E7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9" i="8"/>
  <c r="D7" i="8"/>
  <c r="D6" i="8"/>
  <c r="D5" i="8"/>
  <c r="D3" i="8"/>
  <c r="T50" i="12"/>
  <c r="S50" i="12"/>
  <c r="R50" i="12"/>
  <c r="T38" i="12"/>
  <c r="S38" i="12"/>
  <c r="R38" i="12"/>
  <c r="T26" i="12"/>
  <c r="S26" i="12"/>
  <c r="R26" i="12"/>
  <c r="S12" i="12"/>
  <c r="T12" i="12"/>
  <c r="N36" i="26" l="1" a="1"/>
  <c r="D64" i="27"/>
  <c r="B66" i="27"/>
  <c r="J36" i="25"/>
  <c r="N36" i="25" a="1"/>
  <c r="Z9" i="8"/>
  <c r="Y9" i="8"/>
  <c r="U3" i="8"/>
  <c r="V3" i="8"/>
  <c r="V7" i="8"/>
  <c r="U7" i="8"/>
  <c r="U6" i="8"/>
  <c r="V6" i="8"/>
  <c r="U5" i="8"/>
  <c r="V5" i="8"/>
  <c r="U9" i="8"/>
  <c r="V9" i="8"/>
  <c r="V31" i="8"/>
  <c r="U31" i="8"/>
  <c r="V30" i="8"/>
  <c r="U30" i="8"/>
  <c r="U29" i="8"/>
  <c r="V29" i="8"/>
  <c r="V28" i="8"/>
  <c r="U28" i="8"/>
  <c r="U27" i="8"/>
  <c r="V27" i="8"/>
  <c r="U26" i="8"/>
  <c r="V26" i="8"/>
  <c r="U25" i="8"/>
  <c r="V25" i="8"/>
  <c r="U24" i="8"/>
  <c r="V24" i="8"/>
  <c r="U23" i="8"/>
  <c r="V23" i="8"/>
  <c r="U22" i="8"/>
  <c r="V22" i="8"/>
  <c r="U21" i="8"/>
  <c r="V21" i="8"/>
  <c r="U20" i="8"/>
  <c r="V20" i="8"/>
  <c r="V19" i="8"/>
  <c r="U19" i="8"/>
  <c r="V18" i="8"/>
  <c r="U18" i="8"/>
  <c r="U17" i="8"/>
  <c r="V17" i="8"/>
  <c r="V16" i="8"/>
  <c r="U16" i="8"/>
  <c r="V15" i="8"/>
  <c r="U15" i="8"/>
  <c r="V14" i="8"/>
  <c r="U14" i="8"/>
  <c r="U13" i="8"/>
  <c r="V13" i="8"/>
  <c r="U12" i="8"/>
  <c r="V12" i="8"/>
  <c r="U11" i="8"/>
  <c r="V11" i="8"/>
  <c r="U10" i="8"/>
  <c r="V10" i="8"/>
  <c r="X3" i="8"/>
  <c r="W3" i="8"/>
  <c r="X7" i="8"/>
  <c r="W7" i="8"/>
  <c r="W6" i="8"/>
  <c r="X6" i="8"/>
  <c r="X5" i="8"/>
  <c r="W5" i="8"/>
  <c r="X9" i="8"/>
  <c r="W9" i="8"/>
  <c r="W31" i="8"/>
  <c r="X31" i="8"/>
  <c r="W30" i="8"/>
  <c r="X30" i="8"/>
  <c r="X29" i="8"/>
  <c r="W29" i="8"/>
  <c r="X28" i="8"/>
  <c r="W28" i="8"/>
  <c r="W27" i="8"/>
  <c r="X27" i="8"/>
  <c r="W26" i="8"/>
  <c r="X26" i="8"/>
  <c r="W25" i="8"/>
  <c r="X25" i="8"/>
  <c r="W24" i="8"/>
  <c r="X24" i="8"/>
  <c r="W23" i="8"/>
  <c r="X23" i="8"/>
  <c r="W22" i="8"/>
  <c r="X22" i="8"/>
  <c r="W21" i="8"/>
  <c r="X21" i="8"/>
  <c r="W20" i="8"/>
  <c r="X20" i="8"/>
  <c r="W19" i="8"/>
  <c r="X19" i="8"/>
  <c r="W18" i="8"/>
  <c r="X18" i="8"/>
  <c r="X17" i="8"/>
  <c r="W17" i="8"/>
  <c r="X16" i="8"/>
  <c r="W16" i="8"/>
  <c r="W15" i="8"/>
  <c r="X15" i="8"/>
  <c r="X14" i="8"/>
  <c r="W14" i="8"/>
  <c r="X13" i="8"/>
  <c r="W13" i="8"/>
  <c r="X12" i="8"/>
  <c r="W12" i="8"/>
  <c r="W11" i="8"/>
  <c r="X11" i="8"/>
  <c r="W10" i="8"/>
  <c r="X10" i="8"/>
  <c r="Y3" i="8"/>
  <c r="Z3" i="8"/>
  <c r="Z7" i="8"/>
  <c r="A5" i="28" s="1"/>
  <c r="Y7" i="8"/>
  <c r="Z6" i="8"/>
  <c r="Y6" i="8"/>
  <c r="Y5" i="8"/>
  <c r="Z5" i="8"/>
  <c r="A5" i="30" s="1"/>
  <c r="Y31" i="8"/>
  <c r="Z31" i="8"/>
  <c r="Y30" i="8"/>
  <c r="Z30" i="8"/>
  <c r="Y29" i="8"/>
  <c r="Z29" i="8"/>
  <c r="Y28" i="8"/>
  <c r="Z28" i="8"/>
  <c r="Y27" i="8"/>
  <c r="Z27" i="8"/>
  <c r="Y26" i="8"/>
  <c r="Z26" i="8"/>
  <c r="Z25" i="8"/>
  <c r="Y25" i="8"/>
  <c r="Z24" i="8"/>
  <c r="Y24" i="8"/>
  <c r="Y23" i="8"/>
  <c r="Z23" i="8"/>
  <c r="Y22" i="8"/>
  <c r="Z22" i="8"/>
  <c r="Y21" i="8"/>
  <c r="Z21" i="8"/>
  <c r="Y20" i="8"/>
  <c r="Z20" i="8"/>
  <c r="Y19" i="8"/>
  <c r="Z19" i="8"/>
  <c r="Y18" i="8"/>
  <c r="Z18" i="8"/>
  <c r="Y17" i="8"/>
  <c r="Z17" i="8"/>
  <c r="Y16" i="8"/>
  <c r="Z16" i="8"/>
  <c r="Y15" i="8"/>
  <c r="Z15" i="8"/>
  <c r="Y14" i="8"/>
  <c r="Z14" i="8"/>
  <c r="Z13" i="8"/>
  <c r="Y13" i="8"/>
  <c r="Z12" i="8"/>
  <c r="Y12" i="8"/>
  <c r="Y11" i="8"/>
  <c r="Z11" i="8"/>
  <c r="Z10" i="8"/>
  <c r="Y10" i="8"/>
  <c r="T29" i="9"/>
  <c r="R29" i="9"/>
  <c r="R29" i="16"/>
  <c r="T29" i="16"/>
  <c r="T29" i="17"/>
  <c r="R29" i="17"/>
  <c r="T29" i="18"/>
  <c r="R29" i="18"/>
  <c r="T29" i="19"/>
  <c r="R29" i="19"/>
  <c r="R29" i="20"/>
  <c r="T29" i="20"/>
  <c r="R29" i="21"/>
  <c r="T29" i="21"/>
  <c r="T29" i="22"/>
  <c r="R29" i="22"/>
  <c r="T29" i="23"/>
  <c r="R29" i="23"/>
  <c r="R29" i="24"/>
  <c r="T29" i="24"/>
  <c r="R29" i="25"/>
  <c r="T29" i="25"/>
  <c r="T29" i="26"/>
  <c r="R29" i="26"/>
  <c r="C3" i="24"/>
  <c r="C3" i="19"/>
  <c r="O21" i="9"/>
  <c r="W21" i="9" s="1"/>
  <c r="C3" i="18"/>
  <c r="M36" i="26"/>
  <c r="L36" i="26"/>
  <c r="K36" i="26"/>
  <c r="I34" i="26"/>
  <c r="N34" i="26" s="1" a="1"/>
  <c r="I32" i="26" s="1"/>
  <c r="N32" i="26" s="1" a="1"/>
  <c r="I35" i="26"/>
  <c r="N35" i="26" s="1" a="1"/>
  <c r="I33" i="26"/>
  <c r="N33" i="26" s="1" a="1"/>
  <c r="T27" i="26" a="1"/>
  <c r="T25" i="26" a="1"/>
  <c r="T28" i="26" a="1"/>
  <c r="T26" i="26" a="1"/>
  <c r="T24" i="26" a="1"/>
  <c r="Q28" i="26"/>
  <c r="Q26" i="26"/>
  <c r="Q24" i="26"/>
  <c r="P28" i="26"/>
  <c r="R28" i="26" s="1"/>
  <c r="P26" i="26"/>
  <c r="P24" i="26"/>
  <c r="R24" i="26" s="1"/>
  <c r="S27" i="26"/>
  <c r="S25" i="26"/>
  <c r="Q27" i="26"/>
  <c r="Q25" i="26"/>
  <c r="P27" i="26"/>
  <c r="R27" i="26" s="1"/>
  <c r="P25" i="26"/>
  <c r="R25" i="26" s="1"/>
  <c r="T23" i="26" s="1" a="1"/>
  <c r="S28" i="26"/>
  <c r="S26" i="26"/>
  <c r="S24" i="26"/>
  <c r="R26" i="26"/>
  <c r="O21" i="26"/>
  <c r="W21" i="26" s="1"/>
  <c r="M36" i="25"/>
  <c r="L36" i="25"/>
  <c r="I34" i="25"/>
  <c r="N34" i="25" s="1" a="1"/>
  <c r="I32" i="25" s="1"/>
  <c r="N32" i="25" s="1" a="1"/>
  <c r="I35" i="25"/>
  <c r="N35" i="25" s="1" a="1"/>
  <c r="I33" i="25"/>
  <c r="N33" i="25" s="1" a="1"/>
  <c r="T27" i="25" a="1"/>
  <c r="T25" i="25" a="1"/>
  <c r="T23" i="25" a="1"/>
  <c r="T28" i="25" a="1"/>
  <c r="T26" i="25" a="1"/>
  <c r="T24" i="25" a="1"/>
  <c r="Q28" i="25"/>
  <c r="Q26" i="25"/>
  <c r="Q24" i="25"/>
  <c r="P28" i="25"/>
  <c r="R28" i="25" s="1"/>
  <c r="P26" i="25"/>
  <c r="R26" i="25" s="1"/>
  <c r="P24" i="25"/>
  <c r="R24" i="25" s="1"/>
  <c r="S27" i="25"/>
  <c r="S25" i="25"/>
  <c r="Q27" i="25"/>
  <c r="Q25" i="25"/>
  <c r="P27" i="25"/>
  <c r="R27" i="25" s="1"/>
  <c r="P25" i="25"/>
  <c r="R25" i="25" s="1"/>
  <c r="S28" i="25"/>
  <c r="S26" i="25"/>
  <c r="S24" i="25"/>
  <c r="N36" i="24" a="1"/>
  <c r="M36" i="24"/>
  <c r="L36" i="24"/>
  <c r="K36" i="24"/>
  <c r="I34" i="24"/>
  <c r="I32" i="24" s="1"/>
  <c r="N32" i="24" s="1" a="1"/>
  <c r="I35" i="24"/>
  <c r="I33" i="24"/>
  <c r="Q28" i="24"/>
  <c r="Q26" i="24"/>
  <c r="Q24" i="24"/>
  <c r="S24" i="24"/>
  <c r="P28" i="24"/>
  <c r="R28" i="24" s="1"/>
  <c r="P26" i="24"/>
  <c r="R26" i="24" s="1"/>
  <c r="P24" i="24"/>
  <c r="R24" i="24" s="1"/>
  <c r="S28" i="24"/>
  <c r="S27" i="24"/>
  <c r="S25" i="24"/>
  <c r="S26" i="24"/>
  <c r="Q27" i="24"/>
  <c r="Q25" i="24"/>
  <c r="P27" i="24"/>
  <c r="R27" i="24" s="1"/>
  <c r="P25" i="24"/>
  <c r="R25" i="24" s="1"/>
  <c r="N35" i="24" a="1"/>
  <c r="N33" i="24" a="1"/>
  <c r="T27" i="24" a="1"/>
  <c r="T25" i="24" a="1"/>
  <c r="N34" i="24" a="1"/>
  <c r="T28" i="24" a="1"/>
  <c r="T26" i="24" a="1"/>
  <c r="T24" i="24" a="1"/>
  <c r="I35" i="16"/>
  <c r="Q28" i="23"/>
  <c r="Q26" i="23"/>
  <c r="Q24" i="23"/>
  <c r="P28" i="23"/>
  <c r="R28" i="23" s="1"/>
  <c r="P26" i="23"/>
  <c r="P24" i="23"/>
  <c r="S27" i="23"/>
  <c r="S25" i="23"/>
  <c r="Q27" i="23"/>
  <c r="Q25" i="23"/>
  <c r="P27" i="23"/>
  <c r="R27" i="23" s="1"/>
  <c r="P25" i="23"/>
  <c r="R25" i="23" s="1"/>
  <c r="T23" i="23" s="1" a="1"/>
  <c r="S28" i="23"/>
  <c r="S26" i="23"/>
  <c r="S24" i="23"/>
  <c r="R26" i="23"/>
  <c r="R24" i="23"/>
  <c r="I34" i="23"/>
  <c r="I32" i="23" s="1"/>
  <c r="N32" i="23" s="1" a="1"/>
  <c r="I35" i="23"/>
  <c r="N35" i="23" s="1" a="1"/>
  <c r="I33" i="23"/>
  <c r="N33" i="23" s="1" a="1"/>
  <c r="T27" i="23" a="1"/>
  <c r="T25" i="23" a="1"/>
  <c r="T28" i="23" a="1"/>
  <c r="T26" i="23" a="1"/>
  <c r="T24" i="23" a="1"/>
  <c r="O21" i="23"/>
  <c r="W21" i="23" s="1"/>
  <c r="I34" i="22"/>
  <c r="N34" i="22" s="1" a="1"/>
  <c r="I32" i="22" s="1"/>
  <c r="N32" i="22" s="1" a="1"/>
  <c r="I35" i="22"/>
  <c r="N35" i="22" s="1" a="1"/>
  <c r="I33" i="22"/>
  <c r="N33" i="22" s="1" a="1"/>
  <c r="T26" i="22" a="1"/>
  <c r="T28" i="22" a="1"/>
  <c r="T27" i="22" a="1"/>
  <c r="T25" i="22" a="1"/>
  <c r="T24" i="22" a="1"/>
  <c r="Q28" i="22"/>
  <c r="Q26" i="22"/>
  <c r="Q24" i="22"/>
  <c r="P28" i="22"/>
  <c r="R28" i="22" s="1"/>
  <c r="P26" i="22"/>
  <c r="R26" i="22" s="1"/>
  <c r="P24" i="22"/>
  <c r="R24" i="22" s="1"/>
  <c r="P25" i="22"/>
  <c r="R25" i="22" s="1"/>
  <c r="S26" i="22"/>
  <c r="S24" i="22"/>
  <c r="S28" i="22"/>
  <c r="P27" i="22"/>
  <c r="R27" i="22" s="1"/>
  <c r="S27" i="22"/>
  <c r="S25" i="22"/>
  <c r="Q27" i="22"/>
  <c r="Q25" i="22"/>
  <c r="T23" i="22" s="1" a="1"/>
  <c r="O21" i="22"/>
  <c r="W21" i="22" s="1"/>
  <c r="I34" i="21"/>
  <c r="N34" i="21" s="1" a="1"/>
  <c r="I33" i="21"/>
  <c r="N33" i="21" s="1" a="1"/>
  <c r="I32" i="21" s="1"/>
  <c r="N32" i="21" s="1" a="1"/>
  <c r="I35" i="21"/>
  <c r="N35" i="21" s="1" a="1"/>
  <c r="T27" i="21" a="1"/>
  <c r="T25" i="21" a="1"/>
  <c r="T28" i="21" a="1"/>
  <c r="T26" i="21" a="1"/>
  <c r="T24" i="21" a="1"/>
  <c r="Q28" i="21"/>
  <c r="Q26" i="21"/>
  <c r="Q24" i="21"/>
  <c r="P28" i="21"/>
  <c r="R28" i="21" s="1"/>
  <c r="P26" i="21"/>
  <c r="P24" i="21"/>
  <c r="R24" i="21" s="1"/>
  <c r="S27" i="21"/>
  <c r="S25" i="21"/>
  <c r="T23" i="21" s="1" a="1"/>
  <c r="Q27" i="21"/>
  <c r="Q25" i="21"/>
  <c r="P27" i="21"/>
  <c r="R27" i="21" s="1"/>
  <c r="P25" i="21"/>
  <c r="R25" i="21" s="1"/>
  <c r="S28" i="21"/>
  <c r="S26" i="21"/>
  <c r="S24" i="21"/>
  <c r="R26" i="21"/>
  <c r="O21" i="21"/>
  <c r="W21" i="21" s="1"/>
  <c r="C3" i="20"/>
  <c r="I33" i="20"/>
  <c r="I34" i="20"/>
  <c r="N34" i="20" s="1" a="1"/>
  <c r="I32" i="20" s="1"/>
  <c r="I35" i="20"/>
  <c r="N35" i="20" s="1" a="1"/>
  <c r="Q28" i="20"/>
  <c r="Q26" i="20"/>
  <c r="Q24" i="20"/>
  <c r="P28" i="20"/>
  <c r="R28" i="20" s="1"/>
  <c r="P26" i="20"/>
  <c r="R26" i="20" s="1"/>
  <c r="P24" i="20"/>
  <c r="R24" i="20" s="1"/>
  <c r="S27" i="20"/>
  <c r="S25" i="20"/>
  <c r="Q27" i="20"/>
  <c r="Q25" i="20"/>
  <c r="T23" i="20" s="1" a="1"/>
  <c r="P27" i="20"/>
  <c r="R27" i="20" s="1"/>
  <c r="P25" i="20"/>
  <c r="R25" i="20" s="1"/>
  <c r="S28" i="20"/>
  <c r="S26" i="20"/>
  <c r="S24" i="20"/>
  <c r="N33" i="20" a="1"/>
  <c r="T27" i="20" a="1"/>
  <c r="T25" i="20" a="1"/>
  <c r="T28" i="20" a="1"/>
  <c r="T26" i="20" a="1"/>
  <c r="T24" i="20" a="1"/>
  <c r="N32" i="20" a="1"/>
  <c r="I33" i="18"/>
  <c r="N33" i="18" s="1" a="1"/>
  <c r="I34" i="19"/>
  <c r="N34" i="19" s="1" a="1"/>
  <c r="I32" i="19" s="1"/>
  <c r="N32" i="19" s="1" a="1"/>
  <c r="I35" i="19"/>
  <c r="N35" i="19" s="1" a="1"/>
  <c r="I33" i="19"/>
  <c r="N33" i="19" s="1" a="1"/>
  <c r="T27" i="19" a="1"/>
  <c r="T25" i="19" a="1"/>
  <c r="T28" i="19" a="1"/>
  <c r="T26" i="19" a="1"/>
  <c r="T24" i="19" a="1"/>
  <c r="P28" i="19"/>
  <c r="R28" i="19" s="1"/>
  <c r="P26" i="19"/>
  <c r="R26" i="19" s="1"/>
  <c r="P24" i="19"/>
  <c r="R24" i="19" s="1"/>
  <c r="Q26" i="19"/>
  <c r="S27" i="19"/>
  <c r="S25" i="19"/>
  <c r="Q28" i="19"/>
  <c r="Q27" i="19"/>
  <c r="Q25" i="19"/>
  <c r="P27" i="19"/>
  <c r="R27" i="19" s="1"/>
  <c r="P25" i="19"/>
  <c r="R25" i="19" s="1"/>
  <c r="T23" i="19" s="1" a="1"/>
  <c r="S28" i="19"/>
  <c r="S26" i="19"/>
  <c r="S24" i="19"/>
  <c r="Q24" i="19"/>
  <c r="I35" i="9"/>
  <c r="N35" i="9" s="1" a="1"/>
  <c r="I35" i="18"/>
  <c r="N35" i="18" s="1" a="1"/>
  <c r="I34" i="18"/>
  <c r="N34" i="18" s="1" a="1"/>
  <c r="I32" i="18" s="1"/>
  <c r="J32" i="18" s="1"/>
  <c r="T28" i="18" a="1"/>
  <c r="T26" i="18" a="1"/>
  <c r="T24" i="18" a="1"/>
  <c r="T27" i="18" a="1"/>
  <c r="T25" i="18" a="1"/>
  <c r="Q27" i="18"/>
  <c r="Q25" i="18"/>
  <c r="P27" i="18"/>
  <c r="R27" i="18" s="1"/>
  <c r="P25" i="18"/>
  <c r="R25" i="18" s="1"/>
  <c r="T23" i="18" s="1" a="1"/>
  <c r="S28" i="18"/>
  <c r="S26" i="18"/>
  <c r="S24" i="18"/>
  <c r="Q28" i="18"/>
  <c r="Q26" i="18"/>
  <c r="Q24" i="18"/>
  <c r="S27" i="18"/>
  <c r="P28" i="18"/>
  <c r="R28" i="18" s="1"/>
  <c r="P26" i="18"/>
  <c r="R26" i="18" s="1"/>
  <c r="P24" i="18"/>
  <c r="R24" i="18" s="1"/>
  <c r="S25" i="18"/>
  <c r="I32" i="17" s="1"/>
  <c r="N32" i="17" s="1" a="1"/>
  <c r="I33" i="17"/>
  <c r="J33" i="17" s="1"/>
  <c r="L33" i="17" s="1"/>
  <c r="I34" i="17"/>
  <c r="N34" i="17" s="1" a="1"/>
  <c r="I35" i="17"/>
  <c r="K35" i="17" s="1"/>
  <c r="I36" i="17"/>
  <c r="J36" i="17" s="1"/>
  <c r="L36" i="17" s="1"/>
  <c r="I37" i="17"/>
  <c r="J37" i="17" s="1"/>
  <c r="I38" i="17"/>
  <c r="J38" i="17" s="1"/>
  <c r="I39" i="17"/>
  <c r="J39" i="17" s="1"/>
  <c r="I40" i="17"/>
  <c r="K40" i="17" s="1"/>
  <c r="I41" i="17"/>
  <c r="J41" i="17" s="1"/>
  <c r="L41" i="17" s="1"/>
  <c r="J34" i="17"/>
  <c r="N38" i="17" a="1"/>
  <c r="N37" i="17" a="1"/>
  <c r="K41" i="17"/>
  <c r="M38" i="17"/>
  <c r="M35" i="16"/>
  <c r="K35" i="16"/>
  <c r="J35" i="16"/>
  <c r="L35" i="16" s="1"/>
  <c r="N35" i="16" a="1"/>
  <c r="I34" i="16"/>
  <c r="I39" i="16"/>
  <c r="I41" i="16"/>
  <c r="I32" i="16" s="1"/>
  <c r="I36" i="16"/>
  <c r="I38" i="16"/>
  <c r="I33" i="16"/>
  <c r="I37" i="16"/>
  <c r="I40" i="16"/>
  <c r="I32" i="9" s="1"/>
  <c r="N32" i="9" s="1" a="1"/>
  <c r="I37" i="9"/>
  <c r="I39" i="9"/>
  <c r="I34" i="9"/>
  <c r="I41" i="9"/>
  <c r="I36" i="9"/>
  <c r="I38" i="9"/>
  <c r="I33" i="9"/>
  <c r="I40" i="9"/>
  <c r="C3" i="17"/>
  <c r="O21" i="17"/>
  <c r="W21" i="17" s="1"/>
  <c r="T28" i="17" a="1"/>
  <c r="T27" i="17" a="1"/>
  <c r="T25" i="17" a="1"/>
  <c r="T23" i="17" a="1"/>
  <c r="T26" i="17" a="1"/>
  <c r="T24" i="17" a="1"/>
  <c r="S28" i="17"/>
  <c r="S26" i="17"/>
  <c r="Q28" i="17"/>
  <c r="Q26" i="17"/>
  <c r="Q24" i="17"/>
  <c r="S24" i="17"/>
  <c r="P28" i="17"/>
  <c r="R28" i="17" s="1"/>
  <c r="P26" i="17"/>
  <c r="R26" i="17" s="1"/>
  <c r="P24" i="17"/>
  <c r="R24" i="17" s="1"/>
  <c r="S27" i="17"/>
  <c r="S25" i="17"/>
  <c r="Q27" i="17"/>
  <c r="Q25" i="17"/>
  <c r="P27" i="17"/>
  <c r="R27" i="17" s="1"/>
  <c r="P25" i="17"/>
  <c r="R25" i="17" s="1"/>
  <c r="O21" i="16"/>
  <c r="W21" i="16" s="1"/>
  <c r="C3" i="16"/>
  <c r="T28" i="16" a="1"/>
  <c r="T26" i="16" a="1"/>
  <c r="T24" i="16" a="1"/>
  <c r="T27" i="16" a="1"/>
  <c r="T25" i="16" a="1"/>
  <c r="Q27" i="16"/>
  <c r="Q25" i="16"/>
  <c r="P27" i="16"/>
  <c r="P25" i="16"/>
  <c r="R25" i="16" s="1"/>
  <c r="S28" i="16"/>
  <c r="S26" i="16"/>
  <c r="S24" i="16"/>
  <c r="Q28" i="16"/>
  <c r="Q26" i="16"/>
  <c r="Q24" i="16"/>
  <c r="P28" i="16"/>
  <c r="R28" i="16" s="1"/>
  <c r="P26" i="16"/>
  <c r="R26" i="16" s="1"/>
  <c r="P24" i="16"/>
  <c r="R24" i="16" s="1"/>
  <c r="R27" i="16"/>
  <c r="S27" i="16"/>
  <c r="S25" i="16"/>
  <c r="T24" i="9" a="1"/>
  <c r="Q26" i="9"/>
  <c r="Q27" i="9"/>
  <c r="Q25" i="9"/>
  <c r="Q24" i="9"/>
  <c r="Q23" i="9"/>
  <c r="P23" i="9"/>
  <c r="S23" i="9"/>
  <c r="P28" i="9"/>
  <c r="R28" i="9" s="1"/>
  <c r="S28" i="9"/>
  <c r="T23" i="9" a="1"/>
  <c r="P27" i="9"/>
  <c r="R27" i="9" s="1"/>
  <c r="S27" i="9"/>
  <c r="T28" i="9" a="1"/>
  <c r="P26" i="9"/>
  <c r="R26" i="9" s="1"/>
  <c r="S26" i="9"/>
  <c r="T27" i="9" a="1"/>
  <c r="P25" i="9"/>
  <c r="R25" i="9" s="1"/>
  <c r="S25" i="9"/>
  <c r="T26" i="9" a="1"/>
  <c r="P24" i="9"/>
  <c r="R24" i="9" s="1"/>
  <c r="S24" i="9"/>
  <c r="T25" i="9" a="1"/>
  <c r="Q28" i="9"/>
  <c r="M39" i="17" l="1"/>
  <c r="E3" i="30"/>
  <c r="A6" i="30"/>
  <c r="E5" i="30"/>
  <c r="A6" i="28"/>
  <c r="E3" i="28"/>
  <c r="A5" i="29"/>
  <c r="A5" i="27"/>
  <c r="D65" i="27"/>
  <c r="B67" i="27"/>
  <c r="K34" i="17"/>
  <c r="K37" i="17"/>
  <c r="R23" i="9"/>
  <c r="P29" i="9"/>
  <c r="Y26" i="9" s="1"/>
  <c r="M35" i="9"/>
  <c r="S23" i="26"/>
  <c r="Q23" i="26"/>
  <c r="P23" i="26"/>
  <c r="M33" i="26"/>
  <c r="K33" i="26"/>
  <c r="J33" i="26"/>
  <c r="L33" i="26" s="1"/>
  <c r="M35" i="26"/>
  <c r="K35" i="26"/>
  <c r="J35" i="26"/>
  <c r="L35" i="26" s="1"/>
  <c r="K32" i="26"/>
  <c r="J32" i="26"/>
  <c r="L32" i="26" s="1"/>
  <c r="M32" i="26"/>
  <c r="J34" i="26"/>
  <c r="L34" i="26" s="1"/>
  <c r="M34" i="26"/>
  <c r="K34" i="26"/>
  <c r="S23" i="25"/>
  <c r="Q23" i="25"/>
  <c r="P23" i="25"/>
  <c r="M33" i="25"/>
  <c r="K33" i="25"/>
  <c r="J33" i="25"/>
  <c r="L33" i="25" s="1"/>
  <c r="M35" i="25"/>
  <c r="K35" i="25"/>
  <c r="J35" i="25"/>
  <c r="L35" i="25" s="1"/>
  <c r="J32" i="25"/>
  <c r="L32" i="25" s="1"/>
  <c r="K32" i="25"/>
  <c r="M32" i="25"/>
  <c r="J34" i="25"/>
  <c r="L34" i="25" s="1"/>
  <c r="M34" i="25"/>
  <c r="K34" i="25"/>
  <c r="S23" i="24"/>
  <c r="Q23" i="24"/>
  <c r="P23" i="24"/>
  <c r="T23" i="24" a="1"/>
  <c r="M33" i="24"/>
  <c r="K33" i="24"/>
  <c r="J33" i="24"/>
  <c r="L33" i="24" s="1"/>
  <c r="M35" i="24"/>
  <c r="K35" i="24"/>
  <c r="J35" i="24"/>
  <c r="L35" i="24" s="1"/>
  <c r="M32" i="24"/>
  <c r="K32" i="24"/>
  <c r="J32" i="24"/>
  <c r="L32" i="24" s="1"/>
  <c r="J34" i="24"/>
  <c r="L34" i="24" s="1"/>
  <c r="K34" i="24"/>
  <c r="M34" i="24"/>
  <c r="M34" i="17"/>
  <c r="K35" i="9"/>
  <c r="J35" i="9"/>
  <c r="L35" i="9" s="1"/>
  <c r="K33" i="17"/>
  <c r="K32" i="17"/>
  <c r="M32" i="17"/>
  <c r="N41" i="17" a="1"/>
  <c r="M33" i="17"/>
  <c r="K38" i="17"/>
  <c r="M35" i="17"/>
  <c r="J35" i="17"/>
  <c r="L35" i="17" s="1"/>
  <c r="N35" i="17" a="1"/>
  <c r="M35" i="23"/>
  <c r="K35" i="23"/>
  <c r="J35" i="23"/>
  <c r="L35" i="23" s="1"/>
  <c r="K32" i="23"/>
  <c r="J32" i="23"/>
  <c r="L32" i="23" s="1"/>
  <c r="M32" i="23"/>
  <c r="J34" i="23"/>
  <c r="L34" i="23" s="1"/>
  <c r="M34" i="23"/>
  <c r="K34" i="23"/>
  <c r="N34" i="23" a="1"/>
  <c r="S23" i="23"/>
  <c r="Q23" i="23"/>
  <c r="P23" i="23"/>
  <c r="M33" i="23"/>
  <c r="K33" i="23"/>
  <c r="J33" i="23"/>
  <c r="L33" i="23" s="1"/>
  <c r="P23" i="22"/>
  <c r="S23" i="22"/>
  <c r="Q23" i="22"/>
  <c r="M33" i="22"/>
  <c r="K33" i="22"/>
  <c r="J33" i="22"/>
  <c r="L33" i="22" s="1"/>
  <c r="M35" i="22"/>
  <c r="K35" i="22"/>
  <c r="J35" i="22"/>
  <c r="L35" i="22" s="1"/>
  <c r="K32" i="22"/>
  <c r="J32" i="22"/>
  <c r="L32" i="22" s="1"/>
  <c r="M32" i="22"/>
  <c r="J34" i="22"/>
  <c r="L34" i="22" s="1"/>
  <c r="M34" i="22"/>
  <c r="K34" i="22"/>
  <c r="S23" i="21"/>
  <c r="Q23" i="21"/>
  <c r="P23" i="21"/>
  <c r="M35" i="21"/>
  <c r="K35" i="21"/>
  <c r="J35" i="21"/>
  <c r="L35" i="21" s="1"/>
  <c r="K32" i="21"/>
  <c r="J32" i="21"/>
  <c r="L32" i="21" s="1"/>
  <c r="M32" i="21"/>
  <c r="M33" i="21"/>
  <c r="K33" i="21"/>
  <c r="J33" i="21"/>
  <c r="L33" i="21" s="1"/>
  <c r="J34" i="21"/>
  <c r="L34" i="21" s="1"/>
  <c r="M34" i="21"/>
  <c r="K34" i="21"/>
  <c r="S23" i="20"/>
  <c r="Q23" i="20"/>
  <c r="P23" i="20"/>
  <c r="M35" i="20"/>
  <c r="K35" i="20"/>
  <c r="J35" i="20"/>
  <c r="L35" i="20" s="1"/>
  <c r="K32" i="20"/>
  <c r="J32" i="20"/>
  <c r="L32" i="20" s="1"/>
  <c r="M32" i="20"/>
  <c r="J34" i="20"/>
  <c r="L34" i="20" s="1"/>
  <c r="M34" i="20"/>
  <c r="K34" i="20"/>
  <c r="M33" i="20"/>
  <c r="K33" i="20"/>
  <c r="J33" i="20"/>
  <c r="L33" i="20" s="1"/>
  <c r="K36" i="17"/>
  <c r="M32" i="18"/>
  <c r="M36" i="17"/>
  <c r="N36" i="17" a="1"/>
  <c r="K39" i="17"/>
  <c r="N39" i="17" a="1"/>
  <c r="M37" i="17"/>
  <c r="M41" i="17"/>
  <c r="N33" i="17" a="1"/>
  <c r="L39" i="17"/>
  <c r="S23" i="19"/>
  <c r="Q23" i="19"/>
  <c r="P23" i="19"/>
  <c r="M33" i="19"/>
  <c r="K33" i="19"/>
  <c r="J33" i="19"/>
  <c r="L33" i="19" s="1"/>
  <c r="M35" i="19"/>
  <c r="K35" i="19"/>
  <c r="J35" i="19"/>
  <c r="L35" i="19" s="1"/>
  <c r="K32" i="19"/>
  <c r="J32" i="19"/>
  <c r="L32" i="19" s="1"/>
  <c r="M32" i="19"/>
  <c r="J34" i="19"/>
  <c r="L34" i="19" s="1"/>
  <c r="M34" i="19"/>
  <c r="K34" i="19"/>
  <c r="L32" i="18"/>
  <c r="L38" i="17"/>
  <c r="K32" i="18"/>
  <c r="L37" i="17"/>
  <c r="M34" i="18"/>
  <c r="K34" i="18"/>
  <c r="J34" i="18"/>
  <c r="L34" i="18" s="1"/>
  <c r="Q23" i="18"/>
  <c r="P23" i="18"/>
  <c r="S23" i="18"/>
  <c r="N32" i="18" a="1"/>
  <c r="K33" i="18"/>
  <c r="J33" i="18"/>
  <c r="L33" i="18" s="1"/>
  <c r="M33" i="18"/>
  <c r="J35" i="18"/>
  <c r="L35" i="18" s="1"/>
  <c r="K35" i="18"/>
  <c r="M35" i="18"/>
  <c r="J32" i="9"/>
  <c r="L32" i="9" s="1"/>
  <c r="N40" i="17" a="1"/>
  <c r="J32" i="17"/>
  <c r="L32" i="17" s="1"/>
  <c r="K32" i="9"/>
  <c r="J40" i="17"/>
  <c r="L40" i="17" s="1"/>
  <c r="M32" i="9"/>
  <c r="M40" i="17"/>
  <c r="L34" i="17"/>
  <c r="J40" i="16"/>
  <c r="L40" i="16" s="1"/>
  <c r="K40" i="16"/>
  <c r="N40" i="16" a="1"/>
  <c r="M40" i="16"/>
  <c r="M38" i="16"/>
  <c r="K38" i="16"/>
  <c r="J38" i="16"/>
  <c r="L38" i="16" s="1"/>
  <c r="N38" i="16" a="1"/>
  <c r="J32" i="16"/>
  <c r="L32" i="16" s="1"/>
  <c r="N32" i="16" a="1"/>
  <c r="M32" i="16"/>
  <c r="K32" i="16"/>
  <c r="N41" i="16" a="1"/>
  <c r="M41" i="16"/>
  <c r="K41" i="16"/>
  <c r="J41" i="16"/>
  <c r="L41" i="16" s="1"/>
  <c r="K33" i="16"/>
  <c r="M33" i="16"/>
  <c r="J33" i="16"/>
  <c r="L33" i="16" s="1"/>
  <c r="N33" i="16" a="1"/>
  <c r="N39" i="16" a="1"/>
  <c r="M39" i="16"/>
  <c r="K39" i="16"/>
  <c r="J39" i="16"/>
  <c r="L39" i="16" s="1"/>
  <c r="N37" i="16" a="1"/>
  <c r="K37" i="16"/>
  <c r="M37" i="16"/>
  <c r="J37" i="16"/>
  <c r="L37" i="16" s="1"/>
  <c r="N36" i="16" a="1"/>
  <c r="M36" i="16"/>
  <c r="K36" i="16"/>
  <c r="J36" i="16"/>
  <c r="L36" i="16" s="1"/>
  <c r="N34" i="16" a="1"/>
  <c r="M34" i="16"/>
  <c r="K34" i="16"/>
  <c r="J34" i="16"/>
  <c r="L34" i="16" s="1"/>
  <c r="K33" i="9"/>
  <c r="J33" i="9"/>
  <c r="L33" i="9" s="1"/>
  <c r="N33" i="9" a="1"/>
  <c r="M33" i="9"/>
  <c r="K38" i="9"/>
  <c r="J38" i="9"/>
  <c r="L38" i="9" s="1"/>
  <c r="M38" i="9"/>
  <c r="N38" i="9" a="1"/>
  <c r="N36" i="9" a="1"/>
  <c r="M36" i="9"/>
  <c r="K36" i="9"/>
  <c r="J36" i="9"/>
  <c r="L36" i="9" s="1"/>
  <c r="N41" i="9" a="1"/>
  <c r="M41" i="9"/>
  <c r="K41" i="9"/>
  <c r="J41" i="9"/>
  <c r="L41" i="9" s="1"/>
  <c r="N34" i="9" a="1"/>
  <c r="M34" i="9"/>
  <c r="K34" i="9"/>
  <c r="J34" i="9"/>
  <c r="L34" i="9" s="1"/>
  <c r="J40" i="9"/>
  <c r="L40" i="9" s="1"/>
  <c r="N40" i="9" a="1"/>
  <c r="M40" i="9"/>
  <c r="K40" i="9"/>
  <c r="N37" i="9" a="1"/>
  <c r="M37" i="9"/>
  <c r="K37" i="9"/>
  <c r="J37" i="9"/>
  <c r="L37" i="9" s="1"/>
  <c r="N39" i="9" a="1"/>
  <c r="M39" i="9"/>
  <c r="K39" i="9"/>
  <c r="J39" i="9"/>
  <c r="L39" i="9" s="1"/>
  <c r="S23" i="17"/>
  <c r="Q23" i="17"/>
  <c r="P23" i="17"/>
  <c r="Q23" i="16"/>
  <c r="P23" i="16"/>
  <c r="S23" i="16"/>
  <c r="T23" i="16" a="1"/>
  <c r="E3" i="27" l="1"/>
  <c r="A6" i="27"/>
  <c r="A6" i="29"/>
  <c r="E3" i="29"/>
  <c r="E5" i="29"/>
  <c r="A7" i="28"/>
  <c r="E6" i="28"/>
  <c r="E6" i="30"/>
  <c r="A7" i="30"/>
  <c r="D66" i="27"/>
  <c r="B68" i="27"/>
  <c r="R23" i="16"/>
  <c r="P29" i="16"/>
  <c r="R23" i="17"/>
  <c r="P29" i="17"/>
  <c r="R23" i="18"/>
  <c r="P29" i="18"/>
  <c r="R23" i="19"/>
  <c r="P29" i="19"/>
  <c r="R23" i="20"/>
  <c r="P29" i="20"/>
  <c r="R23" i="21"/>
  <c r="P29" i="21"/>
  <c r="R23" i="22"/>
  <c r="P29" i="22"/>
  <c r="R23" i="23"/>
  <c r="P29" i="23"/>
  <c r="R23" i="24"/>
  <c r="P29" i="24"/>
  <c r="R23" i="25"/>
  <c r="P29" i="25"/>
  <c r="R23" i="26"/>
  <c r="P29" i="26"/>
  <c r="X26" i="9"/>
  <c r="W28" i="9"/>
  <c r="Y27" i="9"/>
  <c r="X27" i="9"/>
  <c r="W27" i="9"/>
  <c r="X28" i="9"/>
  <c r="W26" i="9"/>
  <c r="Y28" i="9"/>
  <c r="E7" i="30" l="1"/>
  <c r="A8" i="30"/>
  <c r="A8" i="28"/>
  <c r="E7" i="28"/>
  <c r="A7" i="29"/>
  <c r="E6" i="29"/>
  <c r="A7" i="27"/>
  <c r="E6" i="27"/>
  <c r="D67" i="27"/>
  <c r="B69" i="27"/>
  <c r="X27" i="21"/>
  <c r="W28" i="21"/>
  <c r="X28" i="21"/>
  <c r="Y28" i="21"/>
  <c r="Y26" i="21"/>
  <c r="W26" i="21"/>
  <c r="X26" i="21"/>
  <c r="W27" i="21"/>
  <c r="Y27" i="21"/>
  <c r="W26" i="26"/>
  <c r="Y26" i="26"/>
  <c r="Y27" i="26"/>
  <c r="Y28" i="26"/>
  <c r="X28" i="26"/>
  <c r="X27" i="26"/>
  <c r="W28" i="26"/>
  <c r="X26" i="26"/>
  <c r="W27" i="26"/>
  <c r="X27" i="20"/>
  <c r="X28" i="20"/>
  <c r="W26" i="20"/>
  <c r="W27" i="20"/>
  <c r="W28" i="20"/>
  <c r="Y28" i="20"/>
  <c r="Y27" i="20"/>
  <c r="Y26" i="20"/>
  <c r="X26" i="20"/>
  <c r="Y28" i="19"/>
  <c r="W27" i="19"/>
  <c r="W26" i="19"/>
  <c r="Y26" i="19"/>
  <c r="X27" i="19"/>
  <c r="Y27" i="19"/>
  <c r="X26" i="19"/>
  <c r="W28" i="19"/>
  <c r="X28" i="19"/>
  <c r="X27" i="25"/>
  <c r="X26" i="25"/>
  <c r="Y28" i="25"/>
  <c r="Y27" i="25"/>
  <c r="Y26" i="25"/>
  <c r="W27" i="25"/>
  <c r="W26" i="25"/>
  <c r="W28" i="25"/>
  <c r="X28" i="25"/>
  <c r="Y27" i="24"/>
  <c r="X28" i="24"/>
  <c r="Y26" i="24"/>
  <c r="W28" i="24"/>
  <c r="X27" i="24"/>
  <c r="Y28" i="24"/>
  <c r="W26" i="24"/>
  <c r="X26" i="24"/>
  <c r="W27" i="24"/>
  <c r="X28" i="18"/>
  <c r="Y28" i="18"/>
  <c r="Y26" i="18"/>
  <c r="Y27" i="18"/>
  <c r="W26" i="18"/>
  <c r="X27" i="18"/>
  <c r="X26" i="18"/>
  <c r="W27" i="18"/>
  <c r="W28" i="18"/>
  <c r="X27" i="17"/>
  <c r="W26" i="17"/>
  <c r="W27" i="17"/>
  <c r="Y26" i="17"/>
  <c r="X28" i="17"/>
  <c r="W28" i="17"/>
  <c r="Y27" i="17"/>
  <c r="Y28" i="17"/>
  <c r="X26" i="17"/>
  <c r="Y28" i="22"/>
  <c r="W28" i="22"/>
  <c r="X28" i="22"/>
  <c r="X27" i="22"/>
  <c r="X26" i="22"/>
  <c r="W27" i="22"/>
  <c r="W26" i="22"/>
  <c r="Y26" i="22"/>
  <c r="Y27" i="22"/>
  <c r="W27" i="16"/>
  <c r="W28" i="16"/>
  <c r="X28" i="16"/>
  <c r="W26" i="16"/>
  <c r="Y28" i="16"/>
  <c r="X26" i="16"/>
  <c r="Y26" i="16"/>
  <c r="X27" i="16"/>
  <c r="Y27" i="16"/>
  <c r="W26" i="23"/>
  <c r="W28" i="23"/>
  <c r="W27" i="23"/>
  <c r="Y28" i="23"/>
  <c r="Y27" i="23"/>
  <c r="Y26" i="23"/>
  <c r="X27" i="23"/>
  <c r="X28" i="23"/>
  <c r="X26" i="23"/>
  <c r="A8" i="27" l="1"/>
  <c r="E7" i="27"/>
  <c r="E7" i="29"/>
  <c r="A8" i="29"/>
  <c r="A9" i="28"/>
  <c r="E8" i="28"/>
  <c r="A9" i="30"/>
  <c r="E8" i="30"/>
  <c r="D68" i="27"/>
  <c r="B70" i="27"/>
  <c r="A10" i="30" l="1"/>
  <c r="E9" i="30"/>
  <c r="A10" i="28"/>
  <c r="E9" i="28"/>
  <c r="E8" i="29"/>
  <c r="A9" i="29"/>
  <c r="A9" i="27"/>
  <c r="E8" i="27"/>
  <c r="D69" i="27"/>
  <c r="B71" i="27"/>
  <c r="E9" i="27" l="1"/>
  <c r="A10" i="27"/>
  <c r="A10" i="29"/>
  <c r="E9" i="29"/>
  <c r="A11" i="28"/>
  <c r="E10" i="28"/>
  <c r="A11" i="30"/>
  <c r="E10" i="30"/>
  <c r="D70" i="27"/>
  <c r="B72" i="27"/>
  <c r="A12" i="30" l="1"/>
  <c r="E11" i="30"/>
  <c r="A12" i="28"/>
  <c r="E11" i="28"/>
  <c r="A11" i="29"/>
  <c r="E10" i="29"/>
  <c r="A11" i="27"/>
  <c r="E10" i="27"/>
  <c r="D71" i="27"/>
  <c r="B73" i="27"/>
  <c r="A13" i="30" l="1"/>
  <c r="E12" i="30"/>
  <c r="A13" i="28"/>
  <c r="E12" i="28"/>
  <c r="E11" i="27"/>
  <c r="A12" i="27"/>
  <c r="E11" i="29"/>
  <c r="A12" i="29"/>
  <c r="D72" i="27"/>
  <c r="B74" i="27"/>
  <c r="E13" i="30" l="1"/>
  <c r="A14" i="30"/>
  <c r="A13" i="29"/>
  <c r="E12" i="29"/>
  <c r="E13" i="28"/>
  <c r="A14" i="28"/>
  <c r="A13" i="27"/>
  <c r="E12" i="27"/>
  <c r="D73" i="27"/>
  <c r="B75" i="27"/>
  <c r="E13" i="29" l="1"/>
  <c r="A14" i="29"/>
  <c r="A15" i="30"/>
  <c r="E14" i="30"/>
  <c r="A15" i="28"/>
  <c r="E14" i="28"/>
  <c r="E13" i="27"/>
  <c r="A14" i="27"/>
  <c r="D74" i="27"/>
  <c r="B76" i="27"/>
  <c r="A16" i="28" l="1"/>
  <c r="E15" i="28"/>
  <c r="E14" i="29"/>
  <c r="A15" i="29"/>
  <c r="E14" i="27"/>
  <c r="A15" i="27"/>
  <c r="A16" i="30"/>
  <c r="E15" i="30"/>
  <c r="D75" i="27"/>
  <c r="B77" i="27"/>
  <c r="E16" i="30" l="1"/>
  <c r="A17" i="30"/>
  <c r="A16" i="27"/>
  <c r="E15" i="27"/>
  <c r="A16" i="29"/>
  <c r="E15" i="29"/>
  <c r="A17" i="28"/>
  <c r="E16" i="28"/>
  <c r="D76" i="27"/>
  <c r="B78" i="27"/>
  <c r="E17" i="28" l="1"/>
  <c r="A18" i="28"/>
  <c r="A18" i="30"/>
  <c r="E17" i="30"/>
  <c r="E16" i="29"/>
  <c r="A17" i="29"/>
  <c r="E16" i="27"/>
  <c r="A17" i="27"/>
  <c r="D77" i="27"/>
  <c r="B79" i="27"/>
  <c r="A18" i="27" l="1"/>
  <c r="E17" i="27"/>
  <c r="E18" i="28"/>
  <c r="A19" i="28"/>
  <c r="A18" i="29"/>
  <c r="E17" i="29"/>
  <c r="A19" i="30"/>
  <c r="E18" i="30"/>
  <c r="D78" i="27"/>
  <c r="E19" i="30" l="1"/>
  <c r="A20" i="30"/>
  <c r="A19" i="29"/>
  <c r="E18" i="29"/>
  <c r="E19" i="28"/>
  <c r="A20" i="28"/>
  <c r="A19" i="27"/>
  <c r="E18" i="27"/>
  <c r="D79" i="27"/>
  <c r="E20" i="28" l="1"/>
  <c r="A21" i="28"/>
  <c r="A21" i="30"/>
  <c r="E20" i="30"/>
  <c r="E19" i="27"/>
  <c r="A20" i="27"/>
  <c r="E19" i="29"/>
  <c r="A20" i="29"/>
  <c r="A21" i="29" l="1"/>
  <c r="E20" i="29"/>
  <c r="A21" i="27"/>
  <c r="E20" i="27"/>
  <c r="E21" i="28"/>
  <c r="A22" i="28"/>
  <c r="A22" i="30"/>
  <c r="E21" i="30"/>
  <c r="E22" i="28" l="1"/>
  <c r="A23" i="28"/>
  <c r="A23" i="30"/>
  <c r="E22" i="30"/>
  <c r="E21" i="27"/>
  <c r="A22" i="27"/>
  <c r="A22" i="29"/>
  <c r="E21" i="29"/>
  <c r="E22" i="27" l="1"/>
  <c r="A23" i="27"/>
  <c r="E22" i="29"/>
  <c r="A23" i="29"/>
  <c r="A24" i="28"/>
  <c r="E23" i="28"/>
  <c r="A24" i="30"/>
  <c r="E23" i="30"/>
  <c r="A25" i="30" l="1"/>
  <c r="E24" i="30"/>
  <c r="A25" i="28"/>
  <c r="E24" i="28"/>
  <c r="A24" i="29"/>
  <c r="E23" i="29"/>
  <c r="E23" i="27"/>
  <c r="A24" i="27"/>
  <c r="E24" i="27" l="1"/>
  <c r="A25" i="27"/>
  <c r="A25" i="29"/>
  <c r="E24" i="29"/>
  <c r="A26" i="28"/>
  <c r="E25" i="28"/>
  <c r="E25" i="30"/>
  <c r="A26" i="30"/>
  <c r="A26" i="27" l="1"/>
  <c r="E25" i="27"/>
  <c r="A27" i="30"/>
  <c r="E26" i="30"/>
  <c r="A27" i="28"/>
  <c r="E26" i="28"/>
  <c r="A26" i="29"/>
  <c r="E25" i="29"/>
  <c r="A27" i="29" l="1"/>
  <c r="E26" i="29"/>
  <c r="A28" i="28"/>
  <c r="E27" i="28"/>
  <c r="E27" i="30"/>
  <c r="A28" i="30"/>
  <c r="A27" i="27"/>
  <c r="E26" i="27"/>
  <c r="A28" i="27" l="1"/>
  <c r="E27" i="27"/>
  <c r="E28" i="30"/>
  <c r="A29" i="30"/>
  <c r="E28" i="28"/>
  <c r="A29" i="28"/>
  <c r="E27" i="29"/>
  <c r="A28" i="29"/>
  <c r="A30" i="28" l="1"/>
  <c r="E29" i="28"/>
  <c r="E28" i="29"/>
  <c r="A29" i="29"/>
  <c r="A30" i="30"/>
  <c r="E29" i="30"/>
  <c r="E28" i="27"/>
  <c r="A29" i="27"/>
  <c r="A31" i="30" l="1"/>
  <c r="E30" i="30"/>
  <c r="A30" i="29"/>
  <c r="E29" i="29"/>
  <c r="A30" i="27"/>
  <c r="E29" i="27"/>
  <c r="A31" i="28"/>
  <c r="E30" i="28"/>
  <c r="E31" i="28" l="1"/>
  <c r="A32" i="28"/>
  <c r="A31" i="27"/>
  <c r="E30" i="27"/>
  <c r="A31" i="29"/>
  <c r="E30" i="29"/>
  <c r="E31" i="30"/>
  <c r="A32" i="30"/>
  <c r="E31" i="29" l="1"/>
  <c r="A32" i="29"/>
  <c r="A33" i="28"/>
  <c r="E32" i="28"/>
  <c r="A33" i="30"/>
  <c r="E32" i="30"/>
  <c r="A32" i="27"/>
  <c r="E31" i="27"/>
  <c r="E33" i="30" l="1"/>
  <c r="A34" i="30"/>
  <c r="A33" i="29"/>
  <c r="E32" i="29"/>
  <c r="A33" i="27"/>
  <c r="E32" i="27"/>
  <c r="A34" i="28"/>
  <c r="E33" i="28"/>
  <c r="A34" i="27" l="1"/>
  <c r="E33" i="27"/>
  <c r="E34" i="28"/>
  <c r="A35" i="28"/>
  <c r="A35" i="30"/>
  <c r="E34" i="30"/>
  <c r="E33" i="29"/>
  <c r="A34" i="29"/>
  <c r="E35" i="30" l="1"/>
  <c r="A36" i="30"/>
  <c r="A35" i="29"/>
  <c r="E34" i="29"/>
  <c r="A36" i="28"/>
  <c r="E35" i="28"/>
  <c r="A35" i="27"/>
  <c r="E34" i="27"/>
  <c r="A36" i="29" l="1"/>
  <c r="E35" i="29"/>
  <c r="A37" i="30"/>
  <c r="E36" i="30"/>
  <c r="A36" i="27"/>
  <c r="E35" i="27"/>
  <c r="A37" i="28"/>
  <c r="E36" i="28"/>
  <c r="E37" i="30" l="1"/>
  <c r="A38" i="30"/>
  <c r="E37" i="28"/>
  <c r="A38" i="28"/>
  <c r="A37" i="27"/>
  <c r="E36" i="27"/>
  <c r="A37" i="29"/>
  <c r="E36" i="29"/>
  <c r="A38" i="29" l="1"/>
  <c r="E37" i="29"/>
  <c r="E37" i="27"/>
  <c r="A38" i="27"/>
  <c r="A39" i="28"/>
  <c r="E38" i="28"/>
  <c r="A39" i="30"/>
  <c r="E38" i="30"/>
  <c r="A40" i="30" l="1"/>
  <c r="E39" i="30"/>
  <c r="A40" i="28"/>
  <c r="E39" i="28"/>
  <c r="E38" i="27"/>
  <c r="A39" i="27"/>
  <c r="A39" i="29"/>
  <c r="E38" i="29"/>
  <c r="A40" i="29" l="1"/>
  <c r="E39" i="29"/>
  <c r="A40" i="27"/>
  <c r="E39" i="27"/>
  <c r="E40" i="28"/>
  <c r="A41" i="28"/>
  <c r="E40" i="30"/>
  <c r="A41" i="30"/>
  <c r="A41" i="27" l="1"/>
  <c r="E40" i="27"/>
  <c r="E41" i="30"/>
  <c r="A42" i="30"/>
  <c r="A42" i="28"/>
  <c r="E41" i="28"/>
  <c r="A41" i="29"/>
  <c r="E40" i="29"/>
  <c r="A42" i="29" l="1"/>
  <c r="E41" i="29"/>
  <c r="A43" i="28"/>
  <c r="E42" i="28"/>
  <c r="A43" i="30"/>
  <c r="E42" i="30"/>
  <c r="A42" i="27"/>
  <c r="E41" i="27"/>
  <c r="A43" i="27" l="1"/>
  <c r="E42" i="27"/>
  <c r="E43" i="30"/>
  <c r="A44" i="30"/>
  <c r="A44" i="28"/>
  <c r="E43" i="28"/>
  <c r="E42" i="29"/>
  <c r="A43" i="29"/>
  <c r="A45" i="28" l="1"/>
  <c r="E44" i="28"/>
  <c r="E43" i="29"/>
  <c r="A44" i="29"/>
  <c r="A45" i="30"/>
  <c r="E44" i="30"/>
  <c r="A44" i="27"/>
  <c r="E43" i="27"/>
  <c r="E44" i="27" l="1"/>
  <c r="A45" i="27"/>
  <c r="A46" i="30"/>
  <c r="E45" i="30"/>
  <c r="A45" i="29"/>
  <c r="E44" i="29"/>
  <c r="A46" i="28"/>
  <c r="E45" i="28"/>
  <c r="A47" i="30" l="1"/>
  <c r="E46" i="30"/>
  <c r="A46" i="29"/>
  <c r="E45" i="29"/>
  <c r="E45" i="27"/>
  <c r="A46" i="27"/>
  <c r="E46" i="28"/>
  <c r="A47" i="28"/>
  <c r="A47" i="27" l="1"/>
  <c r="E46" i="27"/>
  <c r="A47" i="29"/>
  <c r="E46" i="29"/>
  <c r="A48" i="28"/>
  <c r="E47" i="28"/>
  <c r="E47" i="30"/>
  <c r="A48" i="30"/>
  <c r="A49" i="30" l="1"/>
  <c r="E48" i="30"/>
  <c r="E47" i="29"/>
  <c r="A48" i="29"/>
  <c r="A49" i="28"/>
  <c r="E48" i="28"/>
  <c r="A48" i="27"/>
  <c r="E47" i="27"/>
  <c r="A49" i="27" l="1"/>
  <c r="E48" i="27"/>
  <c r="A50" i="28"/>
  <c r="E49" i="28"/>
  <c r="E48" i="29"/>
  <c r="A49" i="29"/>
  <c r="A50" i="30"/>
  <c r="E49" i="30"/>
  <c r="A50" i="29" l="1"/>
  <c r="E49" i="29"/>
  <c r="A51" i="28"/>
  <c r="E50" i="28"/>
  <c r="E50" i="30"/>
  <c r="A51" i="30"/>
  <c r="E49" i="27"/>
  <c r="A50" i="27"/>
  <c r="A52" i="28" l="1"/>
  <c r="E51" i="28"/>
  <c r="A51" i="27"/>
  <c r="E50" i="27"/>
  <c r="E51" i="30"/>
  <c r="A52" i="30"/>
  <c r="A51" i="29"/>
  <c r="E50" i="29"/>
  <c r="E52" i="30" l="1"/>
  <c r="A53" i="30"/>
  <c r="E51" i="27"/>
  <c r="A52" i="27"/>
  <c r="A52" i="29"/>
  <c r="E51" i="29"/>
  <c r="A53" i="28"/>
  <c r="E52" i="28"/>
  <c r="A54" i="28" l="1"/>
  <c r="E53" i="28"/>
  <c r="A54" i="30"/>
  <c r="E53" i="30"/>
  <c r="E52" i="29"/>
  <c r="A53" i="29"/>
  <c r="A53" i="27"/>
  <c r="E52" i="27"/>
  <c r="A54" i="29" l="1"/>
  <c r="E53" i="29"/>
  <c r="A55" i="30"/>
  <c r="E54" i="30"/>
  <c r="A54" i="27"/>
  <c r="E53" i="27"/>
  <c r="A55" i="28"/>
  <c r="E54" i="28"/>
  <c r="E55" i="30" l="1"/>
  <c r="A56" i="30"/>
  <c r="A55" i="27"/>
  <c r="E54" i="27"/>
  <c r="A56" i="28"/>
  <c r="E55" i="28"/>
  <c r="E54" i="29"/>
  <c r="A55" i="29"/>
  <c r="E55" i="29" l="1"/>
  <c r="A56" i="29"/>
  <c r="E55" i="27"/>
  <c r="A56" i="27"/>
  <c r="A57" i="30"/>
  <c r="E56" i="30"/>
  <c r="A57" i="28"/>
  <c r="E56" i="28"/>
  <c r="A57" i="29" l="1"/>
  <c r="E56" i="29"/>
  <c r="A58" i="28"/>
  <c r="E57" i="28"/>
  <c r="E57" i="30"/>
  <c r="A58" i="30"/>
  <c r="E56" i="27"/>
  <c r="A57" i="27"/>
  <c r="A58" i="27" l="1"/>
  <c r="E57" i="27"/>
  <c r="E58" i="30"/>
  <c r="A59" i="30"/>
  <c r="A59" i="28"/>
  <c r="E58" i="28"/>
  <c r="E57" i="29"/>
  <c r="A58" i="29"/>
  <c r="A59" i="29" l="1"/>
  <c r="E58" i="29"/>
  <c r="A60" i="28"/>
  <c r="E59" i="28"/>
  <c r="A60" i="30"/>
  <c r="E59" i="30"/>
  <c r="A59" i="27"/>
  <c r="E58" i="27"/>
  <c r="A60" i="27" l="1"/>
  <c r="E59" i="27"/>
  <c r="A61" i="28"/>
  <c r="E60" i="28"/>
  <c r="A61" i="30"/>
  <c r="E60" i="30"/>
  <c r="E59" i="29"/>
  <c r="A60" i="29"/>
  <c r="A61" i="29" l="1"/>
  <c r="E60" i="29"/>
  <c r="E61" i="30"/>
  <c r="A62" i="30"/>
  <c r="A62" i="28"/>
  <c r="E61" i="28"/>
  <c r="A61" i="27"/>
  <c r="E60" i="27"/>
  <c r="A63" i="28" l="1"/>
  <c r="E62" i="28"/>
  <c r="A62" i="27"/>
  <c r="E61" i="27"/>
  <c r="E62" i="30"/>
  <c r="A63" i="30"/>
  <c r="E61" i="29"/>
  <c r="A62" i="29"/>
  <c r="A63" i="29" l="1"/>
  <c r="E62" i="29"/>
  <c r="A64" i="30"/>
  <c r="E63" i="30"/>
  <c r="A63" i="27"/>
  <c r="E62" i="27"/>
  <c r="A64" i="28"/>
  <c r="E63" i="28"/>
  <c r="A65" i="28" l="1"/>
  <c r="E64" i="28"/>
  <c r="A64" i="27"/>
  <c r="E63" i="27"/>
  <c r="E64" i="30"/>
  <c r="A65" i="30"/>
  <c r="E63" i="29"/>
  <c r="A64" i="29"/>
  <c r="A65" i="29" l="1"/>
  <c r="E64" i="29"/>
  <c r="A66" i="30"/>
  <c r="E65" i="30"/>
  <c r="A65" i="27"/>
  <c r="E64" i="27"/>
  <c r="A66" i="28"/>
  <c r="E65" i="28"/>
  <c r="A66" i="27" l="1"/>
  <c r="E65" i="27"/>
  <c r="A67" i="28"/>
  <c r="E66" i="28"/>
  <c r="E66" i="30"/>
  <c r="A67" i="30"/>
  <c r="E65" i="29"/>
  <c r="A66" i="29"/>
  <c r="A67" i="29" l="1"/>
  <c r="E66" i="29"/>
  <c r="A68" i="30"/>
  <c r="E67" i="30"/>
  <c r="A68" i="28"/>
  <c r="E67" i="28"/>
  <c r="A67" i="27"/>
  <c r="E66" i="27"/>
  <c r="A68" i="27" l="1"/>
  <c r="E67" i="27"/>
  <c r="A69" i="28"/>
  <c r="E68" i="28"/>
  <c r="E68" i="30"/>
  <c r="A69" i="30"/>
  <c r="A68" i="29"/>
  <c r="E67" i="29"/>
  <c r="E68" i="29" l="1"/>
  <c r="A69" i="29"/>
  <c r="A70" i="30"/>
  <c r="E69" i="30"/>
  <c r="A70" i="28"/>
  <c r="E69" i="28"/>
  <c r="A69" i="27"/>
  <c r="E68" i="27"/>
  <c r="E69" i="29" l="1"/>
  <c r="A70" i="29"/>
  <c r="E69" i="27"/>
  <c r="A70" i="27"/>
  <c r="A71" i="28"/>
  <c r="E70" i="28"/>
  <c r="A71" i="30"/>
  <c r="E70" i="30"/>
  <c r="A71" i="27" l="1"/>
  <c r="E70" i="27"/>
  <c r="E71" i="30"/>
  <c r="A72" i="30"/>
  <c r="A72" i="28"/>
  <c r="E71" i="28"/>
  <c r="E70" i="29"/>
  <c r="A71" i="29"/>
  <c r="E71" i="29" l="1"/>
  <c r="A72" i="29"/>
  <c r="A73" i="28"/>
  <c r="E72" i="28"/>
  <c r="A73" i="30"/>
  <c r="E72" i="30"/>
  <c r="A72" i="27"/>
  <c r="E71" i="27"/>
  <c r="A73" i="27" l="1"/>
  <c r="E72" i="27"/>
  <c r="E73" i="30"/>
  <c r="A74" i="30"/>
  <c r="A74" i="28"/>
  <c r="E73" i="28"/>
  <c r="A73" i="29"/>
  <c r="E72" i="29"/>
  <c r="A75" i="30" l="1"/>
  <c r="E74" i="30"/>
  <c r="A74" i="29"/>
  <c r="E73" i="29"/>
  <c r="A75" i="28"/>
  <c r="E74" i="28"/>
  <c r="A74" i="27"/>
  <c r="E73" i="27"/>
  <c r="E74" i="27" l="1"/>
  <c r="A75" i="27"/>
  <c r="A76" i="28"/>
  <c r="E75" i="28"/>
  <c r="E74" i="29"/>
  <c r="A75" i="29"/>
  <c r="A76" i="30"/>
  <c r="E75" i="30"/>
  <c r="E76" i="30" l="1"/>
  <c r="A77" i="30"/>
  <c r="A76" i="29"/>
  <c r="E75" i="29"/>
  <c r="A77" i="28"/>
  <c r="E76" i="28"/>
  <c r="E75" i="27"/>
  <c r="A76" i="27"/>
  <c r="E76" i="27" l="1"/>
  <c r="A77" i="27"/>
  <c r="A78" i="28"/>
  <c r="E77" i="28"/>
  <c r="E76" i="29"/>
  <c r="A77" i="29"/>
  <c r="A78" i="30"/>
  <c r="E77" i="30"/>
  <c r="A79" i="30" l="1"/>
  <c r="E79" i="30" s="1"/>
  <c r="E78" i="30"/>
  <c r="A78" i="29"/>
  <c r="E77" i="29"/>
  <c r="A79" i="28"/>
  <c r="E79" i="28" s="1"/>
  <c r="E78" i="28"/>
  <c r="E77" i="27"/>
  <c r="A78" i="27"/>
  <c r="A79" i="27" l="1"/>
  <c r="E79" i="27" s="1"/>
  <c r="E78" i="27"/>
  <c r="E78" i="29"/>
  <c r="A79" i="29"/>
  <c r="E79" i="29" s="1"/>
  <c r="N20" i="31"/>
  <c r="O20" i="31" s="1"/>
  <c r="K20" i="31"/>
  <c r="L20" i="31" s="1"/>
  <c r="H20" i="31"/>
  <c r="I20" i="31" s="1"/>
  <c r="Z20" i="31" s="1"/>
  <c r="N19" i="31"/>
  <c r="O19" i="31" s="1"/>
  <c r="K19" i="31"/>
  <c r="L19" i="31" s="1"/>
  <c r="H19" i="31"/>
  <c r="I19" i="31" s="1"/>
  <c r="N18" i="31"/>
  <c r="O18" i="31" s="1"/>
  <c r="K18" i="31"/>
  <c r="L18" i="31" s="1"/>
  <c r="H18" i="31"/>
  <c r="I18" i="31" s="1"/>
  <c r="N17" i="31"/>
  <c r="O17" i="31" s="1"/>
  <c r="K17" i="31"/>
  <c r="L17" i="31" s="1"/>
  <c r="H17" i="31"/>
  <c r="I17" i="31" s="1"/>
  <c r="N16" i="31"/>
  <c r="O16" i="31" s="1"/>
  <c r="K16" i="31"/>
  <c r="L16" i="31" s="1"/>
  <c r="H16" i="31"/>
  <c r="I16" i="31" s="1"/>
  <c r="N15" i="31"/>
  <c r="O15" i="31" s="1"/>
  <c r="K15" i="31"/>
  <c r="L15" i="31" s="1"/>
  <c r="H15" i="31"/>
  <c r="I15" i="31" s="1"/>
  <c r="N14" i="31"/>
  <c r="O14" i="31" s="1"/>
  <c r="K14" i="31"/>
  <c r="L14" i="31" s="1"/>
  <c r="H14" i="31"/>
  <c r="I14" i="31" s="1"/>
  <c r="N13" i="31"/>
  <c r="O13" i="31" s="1"/>
  <c r="K13" i="31"/>
  <c r="L13" i="31" s="1"/>
  <c r="H13" i="31"/>
  <c r="I13" i="31" s="1"/>
  <c r="N12" i="31"/>
  <c r="O12" i="31" s="1"/>
  <c r="K12" i="31"/>
  <c r="L12" i="31" s="1"/>
  <c r="H12" i="31"/>
  <c r="I12" i="31" s="1"/>
  <c r="Z12" i="31" s="1"/>
  <c r="N11" i="31"/>
  <c r="O11" i="31" s="1"/>
  <c r="K11" i="31"/>
  <c r="L11" i="31" s="1"/>
  <c r="H11" i="31"/>
  <c r="I11" i="31" s="1"/>
  <c r="N10" i="31"/>
  <c r="O10" i="31" s="1"/>
  <c r="K10" i="31"/>
  <c r="L10" i="31" s="1"/>
  <c r="H10" i="31"/>
  <c r="I10" i="31" s="1"/>
  <c r="N9" i="31"/>
  <c r="O9" i="31" s="1"/>
  <c r="K9" i="31"/>
  <c r="L9" i="31" s="1"/>
  <c r="H9" i="31"/>
  <c r="I9" i="31" s="1"/>
  <c r="N8" i="31"/>
  <c r="O8" i="31" s="1"/>
  <c r="K8" i="31"/>
  <c r="L8" i="31" s="1"/>
  <c r="H8" i="31"/>
  <c r="I8" i="31" s="1"/>
  <c r="N7" i="31"/>
  <c r="O7" i="31" s="1"/>
  <c r="K7" i="31"/>
  <c r="L7" i="31" s="1"/>
  <c r="H7" i="31"/>
  <c r="I7" i="31" s="1"/>
  <c r="N6" i="31"/>
  <c r="O6" i="31" s="1"/>
  <c r="K6" i="31"/>
  <c r="L6" i="31" s="1"/>
  <c r="H6" i="31"/>
  <c r="I6" i="31" s="1"/>
  <c r="N5" i="31"/>
  <c r="O5" i="31" s="1"/>
  <c r="K5" i="31"/>
  <c r="L5" i="31" s="1"/>
  <c r="H5" i="31"/>
  <c r="I5" i="31" s="1"/>
  <c r="N4" i="31"/>
  <c r="O4" i="31" s="1"/>
  <c r="K4" i="31"/>
  <c r="L4" i="31" s="1"/>
  <c r="H4" i="31"/>
  <c r="I4" i="31" s="1"/>
  <c r="Z4" i="31" s="1"/>
  <c r="N3" i="31"/>
  <c r="O3" i="31" s="1"/>
  <c r="K3" i="31"/>
  <c r="L3" i="31" s="1"/>
  <c r="H3" i="31"/>
  <c r="I3" i="31" s="1"/>
  <c r="N2" i="31"/>
  <c r="O2" i="31" s="1"/>
  <c r="K2" i="31"/>
  <c r="L2" i="31" s="1"/>
  <c r="H2" i="31"/>
  <c r="I2" i="31" s="1"/>
  <c r="R31" i="8"/>
  <c r="N31" i="8"/>
  <c r="J31" i="8"/>
  <c r="R30" i="8"/>
  <c r="N30" i="8"/>
  <c r="J30" i="8"/>
  <c r="R29" i="8"/>
  <c r="N29" i="8"/>
  <c r="J29" i="8"/>
  <c r="R28" i="8"/>
  <c r="N28" i="8"/>
  <c r="J28" i="8"/>
  <c r="R27" i="8"/>
  <c r="N27" i="8"/>
  <c r="J27" i="8"/>
  <c r="R26" i="8"/>
  <c r="N26" i="8"/>
  <c r="J26" i="8"/>
  <c r="R25" i="8"/>
  <c r="N25" i="8"/>
  <c r="J25" i="8"/>
  <c r="R24" i="8"/>
  <c r="N24" i="8"/>
  <c r="J24" i="8"/>
  <c r="R23" i="8"/>
  <c r="N23" i="8"/>
  <c r="J23" i="8"/>
  <c r="R22" i="8"/>
  <c r="N22" i="8"/>
  <c r="J22" i="8"/>
  <c r="R21" i="8"/>
  <c r="N21" i="8"/>
  <c r="J21" i="8"/>
  <c r="R20" i="8"/>
  <c r="N20" i="8"/>
  <c r="J20" i="8"/>
  <c r="R19" i="8"/>
  <c r="N19" i="8"/>
  <c r="J19" i="8"/>
  <c r="R18" i="8"/>
  <c r="N18" i="8"/>
  <c r="J18" i="8"/>
  <c r="R17" i="8"/>
  <c r="N17" i="8"/>
  <c r="J17" i="8"/>
  <c r="R16" i="8"/>
  <c r="N16" i="8"/>
  <c r="J16" i="8"/>
  <c r="R15" i="8"/>
  <c r="N15" i="8"/>
  <c r="J15" i="8"/>
  <c r="R14" i="8"/>
  <c r="N14" i="8"/>
  <c r="J14" i="8"/>
  <c r="R13" i="8"/>
  <c r="N13" i="8"/>
  <c r="J13" i="8"/>
  <c r="R12" i="8"/>
  <c r="N12" i="8"/>
  <c r="J12" i="8"/>
  <c r="R11" i="8"/>
  <c r="N11" i="8"/>
  <c r="J11" i="8"/>
  <c r="R10" i="8"/>
  <c r="N10" i="8"/>
  <c r="J10" i="8"/>
  <c r="R9" i="8"/>
  <c r="N9" i="8"/>
  <c r="J9" i="8"/>
  <c r="R7" i="8"/>
  <c r="N7" i="8"/>
  <c r="J7" i="8"/>
  <c r="R6" i="8"/>
  <c r="N6" i="8"/>
  <c r="J6" i="8"/>
  <c r="R5" i="8"/>
  <c r="N5" i="8"/>
  <c r="J5" i="8"/>
  <c r="R3" i="8"/>
  <c r="N3" i="8"/>
  <c r="J3" i="8"/>
  <c r="N36" i="26"/>
  <c r="N35" i="26"/>
  <c r="N34" i="26"/>
  <c r="N33" i="26"/>
  <c r="N32" i="26"/>
  <c r="H32" i="26"/>
  <c r="T28" i="26"/>
  <c r="T27" i="26"/>
  <c r="T26" i="26"/>
  <c r="T25" i="26"/>
  <c r="T24" i="26"/>
  <c r="T23" i="26"/>
  <c r="O23" i="26"/>
  <c r="D4" i="26"/>
  <c r="C4" i="26"/>
  <c r="B4" i="26"/>
  <c r="A4" i="26"/>
  <c r="N36" i="25"/>
  <c r="N35" i="25"/>
  <c r="N34" i="25"/>
  <c r="N33" i="25"/>
  <c r="N32" i="25"/>
  <c r="H32" i="25"/>
  <c r="T28" i="25"/>
  <c r="T27" i="25"/>
  <c r="T26" i="25"/>
  <c r="T25" i="25"/>
  <c r="T24" i="25"/>
  <c r="T23" i="25"/>
  <c r="O23" i="25"/>
  <c r="D4" i="25"/>
  <c r="C4" i="25"/>
  <c r="B4" i="25"/>
  <c r="A4" i="25"/>
  <c r="N36" i="24"/>
  <c r="N35" i="24"/>
  <c r="N34" i="24"/>
  <c r="N33" i="24"/>
  <c r="N32" i="24"/>
  <c r="H32" i="24"/>
  <c r="T28" i="24"/>
  <c r="T27" i="24"/>
  <c r="T26" i="24"/>
  <c r="T25" i="24"/>
  <c r="T24" i="24"/>
  <c r="T23" i="24"/>
  <c r="O23" i="24"/>
  <c r="D4" i="24"/>
  <c r="C4" i="24"/>
  <c r="B4" i="24"/>
  <c r="A4" i="24"/>
  <c r="N35" i="23"/>
  <c r="N34" i="23"/>
  <c r="N33" i="23"/>
  <c r="N32" i="23"/>
  <c r="H32" i="23"/>
  <c r="T28" i="23"/>
  <c r="T27" i="23"/>
  <c r="T26" i="23"/>
  <c r="T25" i="23"/>
  <c r="T24" i="23"/>
  <c r="T23" i="23"/>
  <c r="O23" i="23"/>
  <c r="D4" i="23"/>
  <c r="C4" i="23"/>
  <c r="B4" i="23"/>
  <c r="A4" i="23"/>
  <c r="N35" i="22"/>
  <c r="N34" i="22"/>
  <c r="N33" i="22"/>
  <c r="N32" i="22"/>
  <c r="H32" i="22"/>
  <c r="T28" i="22"/>
  <c r="T27" i="22"/>
  <c r="T26" i="22"/>
  <c r="T25" i="22"/>
  <c r="T24" i="22"/>
  <c r="T23" i="22"/>
  <c r="O23" i="22"/>
  <c r="D4" i="22"/>
  <c r="C4" i="22"/>
  <c r="B4" i="22"/>
  <c r="A4" i="22"/>
  <c r="N35" i="21"/>
  <c r="N34" i="21"/>
  <c r="N33" i="21"/>
  <c r="N32" i="21"/>
  <c r="H32" i="21"/>
  <c r="T28" i="21"/>
  <c r="T27" i="21"/>
  <c r="T26" i="21"/>
  <c r="T25" i="21"/>
  <c r="T24" i="21"/>
  <c r="T23" i="21"/>
  <c r="O23" i="21"/>
  <c r="D4" i="21"/>
  <c r="C4" i="21"/>
  <c r="B4" i="21"/>
  <c r="A4" i="21"/>
  <c r="N35" i="20"/>
  <c r="N34" i="20"/>
  <c r="N33" i="20"/>
  <c r="N32" i="20"/>
  <c r="H32" i="20"/>
  <c r="T28" i="20"/>
  <c r="T27" i="20"/>
  <c r="T26" i="20"/>
  <c r="T25" i="20"/>
  <c r="T24" i="20"/>
  <c r="T23" i="20"/>
  <c r="O23" i="20"/>
  <c r="D4" i="20"/>
  <c r="C4" i="20"/>
  <c r="B4" i="20"/>
  <c r="A4" i="20"/>
  <c r="N35" i="19"/>
  <c r="N34" i="19"/>
  <c r="N33" i="19"/>
  <c r="N32" i="19"/>
  <c r="H32" i="19"/>
  <c r="T28" i="19"/>
  <c r="T27" i="19"/>
  <c r="T26" i="19"/>
  <c r="T25" i="19"/>
  <c r="T24" i="19"/>
  <c r="T23" i="19"/>
  <c r="O23" i="19"/>
  <c r="D4" i="19"/>
  <c r="C4" i="19"/>
  <c r="B4" i="19"/>
  <c r="A4" i="19"/>
  <c r="N35" i="18"/>
  <c r="N34" i="18"/>
  <c r="N33" i="18"/>
  <c r="N32" i="18"/>
  <c r="H32" i="18"/>
  <c r="T28" i="18"/>
  <c r="T27" i="18"/>
  <c r="T26" i="18"/>
  <c r="T25" i="18"/>
  <c r="T24" i="18"/>
  <c r="T23" i="18"/>
  <c r="O23" i="18"/>
  <c r="D4" i="18"/>
  <c r="C4" i="18"/>
  <c r="B4" i="18"/>
  <c r="A4" i="18"/>
  <c r="N41" i="17"/>
  <c r="N40" i="17"/>
  <c r="N39" i="17"/>
  <c r="N38" i="17"/>
  <c r="N37" i="17"/>
  <c r="N36" i="17"/>
  <c r="N35" i="17"/>
  <c r="N34" i="17"/>
  <c r="N33" i="17"/>
  <c r="N32" i="17"/>
  <c r="H32" i="17"/>
  <c r="T28" i="17"/>
  <c r="T27" i="17"/>
  <c r="T26" i="17"/>
  <c r="T25" i="17"/>
  <c r="T24" i="17"/>
  <c r="T23" i="17"/>
  <c r="O23" i="17"/>
  <c r="D4" i="17"/>
  <c r="C4" i="17"/>
  <c r="B4" i="17"/>
  <c r="A4" i="17"/>
  <c r="N41" i="16"/>
  <c r="N40" i="16"/>
  <c r="N39" i="16"/>
  <c r="N38" i="16"/>
  <c r="N37" i="16"/>
  <c r="N36" i="16"/>
  <c r="N35" i="16"/>
  <c r="N34" i="16"/>
  <c r="N33" i="16"/>
  <c r="N32" i="16"/>
  <c r="H32" i="16"/>
  <c r="T28" i="16"/>
  <c r="T27" i="16"/>
  <c r="T26" i="16"/>
  <c r="T25" i="16"/>
  <c r="T24" i="16"/>
  <c r="T23" i="16"/>
  <c r="O23" i="16"/>
  <c r="D4" i="16"/>
  <c r="C4" i="16"/>
  <c r="B4" i="16"/>
  <c r="A4" i="16"/>
  <c r="N41" i="9"/>
  <c r="N40" i="9"/>
  <c r="N39" i="9"/>
  <c r="N38" i="9"/>
  <c r="N37" i="9"/>
  <c r="N36" i="9"/>
  <c r="N35" i="9"/>
  <c r="N34" i="9"/>
  <c r="N33" i="9"/>
  <c r="N32" i="9"/>
  <c r="H32" i="9"/>
  <c r="T28" i="9"/>
  <c r="T27" i="9"/>
  <c r="T26" i="9"/>
  <c r="T25" i="9"/>
  <c r="T24" i="9"/>
  <c r="T23" i="9"/>
  <c r="O23" i="9"/>
  <c r="D4" i="9"/>
  <c r="C4" i="9"/>
  <c r="B4" i="9"/>
  <c r="A4" i="9"/>
  <c r="Z2" i="31" l="1"/>
  <c r="Z10" i="31"/>
  <c r="Z18" i="31"/>
  <c r="Z3" i="31"/>
  <c r="Z11" i="31"/>
  <c r="Z19" i="31"/>
  <c r="Z9" i="31"/>
  <c r="Z17" i="31"/>
  <c r="Z7" i="31"/>
  <c r="Z15" i="31"/>
  <c r="Z5" i="31"/>
  <c r="Z13" i="31"/>
  <c r="Z8" i="31"/>
  <c r="Z16" i="31"/>
  <c r="Z6" i="31"/>
  <c r="Z14" i="3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<sst xmlns="http://schemas.openxmlformats.org/spreadsheetml/2006/main" count="4779" uniqueCount="747">
  <si>
    <t>Datos para acuerdo Corporativo para reglamentación de Color.</t>
  </si>
  <si>
    <t>Resultados históricos</t>
  </si>
  <si>
    <t>Tabla dinámica de historicos de resultados</t>
  </si>
  <si>
    <t>Interpretación de información para Río Negro en longitud de onda 436</t>
  </si>
  <si>
    <t>Interpretación de información para Río Negro en longitud de onda 525</t>
  </si>
  <si>
    <t>Interpretación de información para Río Negro en longitud de onda 620</t>
  </si>
  <si>
    <t>Interpretación de información para Quebrada La Cimarrona en longitud de onda 436</t>
  </si>
  <si>
    <t>Interpretación de información para Quebrada La Cimarrona en longitud de onda 525</t>
  </si>
  <si>
    <t>Interpretación de información para Quebrada La Cimarrona en longitud de onda 620</t>
  </si>
  <si>
    <t>Interpretación de información para Quebrada La Marinilla en longitud de onda 436</t>
  </si>
  <si>
    <t>Interpretación de información para Quebrada La Marinilla en longitud de onda 525</t>
  </si>
  <si>
    <t>Interpretación de información para Quebrada La Marinilla en longitud de onda 620</t>
  </si>
  <si>
    <t>Interpretación de información para Quebrada La Mosca en longitud de onda 436</t>
  </si>
  <si>
    <t>Interpretación de información para Quebrada La Mosca en longitud de onda 525</t>
  </si>
  <si>
    <t>Interpretación de información para Quebrada La Mosca en longitud de onda 620</t>
  </si>
  <si>
    <t>Estadistico de resumen por estaciones y cuerpos de agua</t>
  </si>
  <si>
    <t>Determianción de valores de referencia para vertiemintos puntuales a Río Negro</t>
  </si>
  <si>
    <t>Determianción de valores de referencia para vertiemintos puntuales a Quebrada La Cimarrona</t>
  </si>
  <si>
    <t>Determianción de valores de referencia para vertiemintos puntuales a Quebrada La Marinilla</t>
  </si>
  <si>
    <t>Determianción de valores de referencia para vertiemintos puntuales a Quebrada La Mosca</t>
  </si>
  <si>
    <t>Ejemplos de usuarios aplicando la normativa propuesta y los límites correspondientes.</t>
  </si>
  <si>
    <t>Año</t>
  </si>
  <si>
    <t>Codigo interno</t>
  </si>
  <si>
    <t>Orden Fuente</t>
  </si>
  <si>
    <t>Nombre de la fuente hidrica y Estacion</t>
  </si>
  <si>
    <t>Código de estación</t>
  </si>
  <si>
    <t>Municipio</t>
  </si>
  <si>
    <t>Referente Normativo y tiempo</t>
  </si>
  <si>
    <t>Fuente superficial</t>
  </si>
  <si>
    <t>Latitud</t>
  </si>
  <si>
    <t>Longitud</t>
  </si>
  <si>
    <t>Fecha de toma (AAAA-MM-DD)</t>
  </si>
  <si>
    <t>Mes</t>
  </si>
  <si>
    <t>Tiempo</t>
  </si>
  <si>
    <t>N</t>
  </si>
  <si>
    <t>Color real λ=436 nm (m⁻¹)</t>
  </si>
  <si>
    <t>Color real λ=525 nm (m⁻¹)</t>
  </si>
  <si>
    <t>Color real λ=620 nm (m⁻¹)</t>
  </si>
  <si>
    <t>DBO₅ (mg/L O₂)</t>
  </si>
  <si>
    <t>DQO (mg/L O₂)</t>
  </si>
  <si>
    <t>Oxígeno disuelto (mg/L)</t>
  </si>
  <si>
    <t>Saturación Ox %</t>
  </si>
  <si>
    <t>Temperatura (°C)</t>
  </si>
  <si>
    <t>pH (U. de pH)</t>
  </si>
  <si>
    <t>Conductividad (us/cm)</t>
  </si>
  <si>
    <t>Caudal (L/s)</t>
  </si>
  <si>
    <t> 2020-08-1106 </t>
  </si>
  <si>
    <t>ESTACION EL HIERBAL</t>
  </si>
  <si>
    <t>LOT-061-RET-300-PANTANILLO</t>
  </si>
  <si>
    <t>El Retiro</t>
  </si>
  <si>
    <t>R. 112-5304-2016 - Río Negro - Tramo: 2 - Río Negro</t>
  </si>
  <si>
    <t>Rio Negro</t>
  </si>
  <si>
    <t>06°04'50,05"</t>
  </si>
  <si>
    <t>75°29'46,80"</t>
  </si>
  <si>
    <t>ago</t>
  </si>
  <si>
    <t>Lluvias</t>
  </si>
  <si>
    <t> 2020-11-1861 </t>
  </si>
  <si>
    <t>nov</t>
  </si>
  <si>
    <t> 2021-07-1202 </t>
  </si>
  <si>
    <t>jul</t>
  </si>
  <si>
    <t> 2021-07-1191</t>
  </si>
  <si>
    <t>ESTACION LA AMISTAD</t>
  </si>
  <si>
    <t>LOT-066-SAN-200-LA_MARINILLA</t>
  </si>
  <si>
    <t>El Santuario</t>
  </si>
  <si>
    <t>R. 112-5304-2016 - Río Negro - Tramo: 14 - Quebrada La Marinilla</t>
  </si>
  <si>
    <t>Quebrada La Marinilla</t>
  </si>
  <si>
    <t>06°08'11,79"</t>
  </si>
  <si>
    <t>75°16'09,54"</t>
  </si>
  <si>
    <t>2019-11-2790</t>
  </si>
  <si>
    <t>2020-02-0244</t>
  </si>
  <si>
    <t>feb</t>
  </si>
  <si>
    <t>Seco</t>
  </si>
  <si>
    <t>2021-02-188</t>
  </si>
  <si>
    <t>2021-11-2215</t>
  </si>
  <si>
    <t>2022-02-0213</t>
  </si>
  <si>
    <t>2022-06-0901</t>
  </si>
  <si>
    <t>jun</t>
  </si>
  <si>
    <t>2019-11-2767</t>
  </si>
  <si>
    <t>2020-02-0233</t>
  </si>
  <si>
    <t>2020-08-1120</t>
  </si>
  <si>
    <t>2020-11-1883</t>
  </si>
  <si>
    <t>2021-02-213</t>
  </si>
  <si>
    <t>2022-11-2181</t>
  </si>
  <si>
    <t>2023-02-0220</t>
  </si>
  <si>
    <t>2023-05-0705</t>
  </si>
  <si>
    <t>may</t>
  </si>
  <si>
    <t>2023-11-2332</t>
  </si>
  <si>
    <t>2024-02-0183</t>
  </si>
  <si>
    <t>N.D.</t>
  </si>
  <si>
    <t>2024-06-0837</t>
  </si>
  <si>
    <t>2024-11-1985</t>
  </si>
  <si>
    <t> 2021-07-1203</t>
  </si>
  <si>
    <t>ESTACION MONTENEVADO</t>
  </si>
  <si>
    <t>LOT-199-RIO-100-RIO_NEGRO</t>
  </si>
  <si>
    <t>Rionegro</t>
  </si>
  <si>
    <t>R. 112-5304-2016 - Río Negro - Tramo: 3 - Río Negro</t>
  </si>
  <si>
    <t>06°05'42,34"</t>
  </si>
  <si>
    <t>75°28'32,82"</t>
  </si>
  <si>
    <t>2024-06-0860</t>
  </si>
  <si>
    <t>ROMERAL</t>
  </si>
  <si>
    <t>LOT-085-GUA-100-LA_MOSCA</t>
  </si>
  <si>
    <t>Guarne</t>
  </si>
  <si>
    <t>R. 112-5304-2016 - Río Negro - Tramo: 12 - Quebrada La Mosca</t>
  </si>
  <si>
    <t>Quebrada La Mosca</t>
  </si>
  <si>
    <t>06°18'32,19"</t>
  </si>
  <si>
    <t>75°27'33,70"</t>
  </si>
  <si>
    <t>2024-11-2003</t>
  </si>
  <si>
    <t>2024-02-0174</t>
  </si>
  <si>
    <t> 2021-07-1217</t>
  </si>
  <si>
    <t>2019-11-2772</t>
  </si>
  <si>
    <t>2019-11-2791</t>
  </si>
  <si>
    <t>2020-02-0245</t>
  </si>
  <si>
    <t>2020-08-1107</t>
  </si>
  <si>
    <t>2020-11-1862</t>
  </si>
  <si>
    <t>2021-02-189</t>
  </si>
  <si>
    <t>2021-11-2216</t>
  </si>
  <si>
    <t>2019-11-2797</t>
  </si>
  <si>
    <t>ESTACION PUENTE LARGA</t>
  </si>
  <si>
    <t>LOT-044-CAR-200-LA_CIMARRONA</t>
  </si>
  <si>
    <t>El Carmen de Viboral</t>
  </si>
  <si>
    <t>R. 112-5304-2016 - Río Negro - Tramo: 10 - Quebrada La Cimarrona</t>
  </si>
  <si>
    <t>Quebrada La Cimarrona</t>
  </si>
  <si>
    <t>06°04'05,00"</t>
  </si>
  <si>
    <t>75°19'18,00"</t>
  </si>
  <si>
    <t>2020-02-0251</t>
  </si>
  <si>
    <t>2020-02-0238</t>
  </si>
  <si>
    <t>2020-08-1115</t>
  </si>
  <si>
    <t>2020-11-1878</t>
  </si>
  <si>
    <t>2021-11-2204</t>
  </si>
  <si>
    <t>2022-03-0248</t>
  </si>
  <si>
    <t>mar</t>
  </si>
  <si>
    <t>2022-06-0951</t>
  </si>
  <si>
    <t>2022-11-2253</t>
  </si>
  <si>
    <t>2021-02-208</t>
  </si>
  <si>
    <t>2021-11-2228</t>
  </si>
  <si>
    <t>2022-02-0214</t>
  </si>
  <si>
    <t>2022-06-0902</t>
  </si>
  <si>
    <t>2022-11-2182</t>
  </si>
  <si>
    <t>2023-02-0221</t>
  </si>
  <si>
    <t>2023-05-0706</t>
  </si>
  <si>
    <t>2023-11-2333</t>
  </si>
  <si>
    <t>2020-08-1095</t>
  </si>
  <si>
    <t>2020-11-1849</t>
  </si>
  <si>
    <t>2024-02-0184</t>
  </si>
  <si>
    <t>2024-06-0838</t>
  </si>
  <si>
    <t>2024-11-1986</t>
  </si>
  <si>
    <t>2024-02-0185</t>
  </si>
  <si>
    <t>ESTACION CHARCOMANSO</t>
  </si>
  <si>
    <t>LOT-200-RIO-200-RIO_NEGRO</t>
  </si>
  <si>
    <t>06°08'19,36"</t>
  </si>
  <si>
    <t>75°25'52,78"</t>
  </si>
  <si>
    <t>2021-02-177</t>
  </si>
  <si>
    <t>2021-07-1213</t>
  </si>
  <si>
    <t>2022-03-0240</t>
  </si>
  <si>
    <t>2022-06-0924</t>
  </si>
  <si>
    <t>2022-11-2205</t>
  </si>
  <si>
    <t>2023-03-0256</t>
  </si>
  <si>
    <t>2023-05-0713</t>
  </si>
  <si>
    <t>2023-11-2340</t>
  </si>
  <si>
    <t>2024-02-0191</t>
  </si>
  <si>
    <t>2023-03-0245</t>
  </si>
  <si>
    <t>2023-05-0725</t>
  </si>
  <si>
    <t>2024-06-0839</t>
  </si>
  <si>
    <t>2024-11-1987</t>
  </si>
  <si>
    <t> 2021-07-1204</t>
  </si>
  <si>
    <t>2019-11-2792</t>
  </si>
  <si>
    <t>2020-02-0246</t>
  </si>
  <si>
    <t>2020-08-1108</t>
  </si>
  <si>
    <t>2021-11-2224</t>
  </si>
  <si>
    <t>2022-03-0260</t>
  </si>
  <si>
    <t>2022-06-0947</t>
  </si>
  <si>
    <t>2022-11-2249</t>
  </si>
  <si>
    <t>2023-03-0239</t>
  </si>
  <si>
    <t>&gt;24,2</t>
  </si>
  <si>
    <t>2023-05-0791</t>
  </si>
  <si>
    <t>2020-11-1863</t>
  </si>
  <si>
    <t>2021-02-190</t>
  </si>
  <si>
    <t>2021-11-2217</t>
  </si>
  <si>
    <t>2022-02-0215</t>
  </si>
  <si>
    <t>2023-11-2323</t>
  </si>
  <si>
    <t> 2021-07-1218</t>
  </si>
  <si>
    <t>ESTACION PUENTE MOLINO</t>
  </si>
  <si>
    <t>LOT-086-GUA-200-LA_MOSCA</t>
  </si>
  <si>
    <t>R. 112-5304-2016 - Río Negro - Tramo: 13 - Quebrada La Mosca</t>
  </si>
  <si>
    <t>06°18'14,20"</t>
  </si>
  <si>
    <t>75°27'23,60"</t>
  </si>
  <si>
    <t>2019-11-2764</t>
  </si>
  <si>
    <t>2020-02-0230</t>
  </si>
  <si>
    <t>2020-08-1116</t>
  </si>
  <si>
    <t>2024-06-0845</t>
  </si>
  <si>
    <t>2024-11-1993</t>
  </si>
  <si>
    <t> 2020-08-1121 </t>
  </si>
  <si>
    <t>ESTACION EL CHAGUALO</t>
  </si>
  <si>
    <t>LOT-138-MAR-500-LA_MARINILLA</t>
  </si>
  <si>
    <t>Marinilla</t>
  </si>
  <si>
    <t>06°09'11,79"</t>
  </si>
  <si>
    <t>75°18'36,47"</t>
  </si>
  <si>
    <t>2023-11-2390</t>
  </si>
  <si>
    <t>2024-03-0233</t>
  </si>
  <si>
    <t>2024-06-0909</t>
  </si>
  <si>
    <t>2024-12-2091</t>
  </si>
  <si>
    <t>dic</t>
  </si>
  <si>
    <t>2022-06-0903</t>
  </si>
  <si>
    <t>2022-11-2183</t>
  </si>
  <si>
    <t>2023-02-0222</t>
  </si>
  <si>
    <t>2023-05-0707</t>
  </si>
  <si>
    <t>2023-11-2334</t>
  </si>
  <si>
    <t>2020-11-1879</t>
  </si>
  <si>
    <t>2021-02-209</t>
  </si>
  <si>
    <t>2021-11-2229</t>
  </si>
  <si>
    <t>2022-03-0241</t>
  </si>
  <si>
    <t>2022-06-0925</t>
  </si>
  <si>
    <t> 2020-11-1884 </t>
  </si>
  <si>
    <t> 2021-07-1192 </t>
  </si>
  <si>
    <t>2019-11-2770</t>
  </si>
  <si>
    <t>2019-11-2798</t>
  </si>
  <si>
    <t>ESTACION FLOR SILVESTRE</t>
  </si>
  <si>
    <t>LOT-045-CAR-300-LA_CIMARRONA</t>
  </si>
  <si>
    <t>R. 112-5304-2016 - Río Negro - Tramo: 11 - Quebrada La Cimarrona</t>
  </si>
  <si>
    <t>06°05'48,59"</t>
  </si>
  <si>
    <t>75°19'53,32"</t>
  </si>
  <si>
    <t>2020-02-0252</t>
  </si>
  <si>
    <t>2020-08-1096</t>
  </si>
  <si>
    <t>2020-11-1850</t>
  </si>
  <si>
    <t>2024-02-0186</t>
  </si>
  <si>
    <t>ESTACION BOCATOMA MUNICIPIO DE RIONEGRO</t>
  </si>
  <si>
    <t>LOT-201-RIO-300-RIO_NEGRO</t>
  </si>
  <si>
    <t>06°08'53,96"</t>
  </si>
  <si>
    <t>75°23'34,13"</t>
  </si>
  <si>
    <t>2024-06-0840</t>
  </si>
  <si>
    <t>2024-11-1988</t>
  </si>
  <si>
    <t> 2021-07-1205</t>
  </si>
  <si>
    <t>2019-11-2759</t>
  </si>
  <si>
    <t>2020-02-0225</t>
  </si>
  <si>
    <t>2020-08-1109</t>
  </si>
  <si>
    <t>2020-11-1864</t>
  </si>
  <si>
    <t>2022-11-2206</t>
  </si>
  <si>
    <t>2023-03-0246</t>
  </si>
  <si>
    <t>&gt;18,4</t>
  </si>
  <si>
    <t>2023-05-0726</t>
  </si>
  <si>
    <t>2023-11-2324</t>
  </si>
  <si>
    <t>2024-02-0175</t>
  </si>
  <si>
    <t>2020-02-0236_C</t>
  </si>
  <si>
    <t>2021-02-214</t>
  </si>
  <si>
    <t>2021-11-2205</t>
  </si>
  <si>
    <t>2022-03-0249</t>
  </si>
  <si>
    <t>2021-02-191</t>
  </si>
  <si>
    <t>2021-11-2218</t>
  </si>
  <si>
    <t>2021-02-178</t>
  </si>
  <si>
    <t>2021-07-1214</t>
  </si>
  <si>
    <t>2021-11-2225</t>
  </si>
  <si>
    <t>2022-03-0261</t>
  </si>
  <si>
    <t>2022-06-0952</t>
  </si>
  <si>
    <t>2022-11-2254</t>
  </si>
  <si>
    <t>2023-03-0257</t>
  </si>
  <si>
    <t>&gt;45,2</t>
  </si>
  <si>
    <t>2023-05-0714</t>
  </si>
  <si>
    <t>2022-02-0216</t>
  </si>
  <si>
    <t>2022-06-0904</t>
  </si>
  <si>
    <t>2022-11-2184</t>
  </si>
  <si>
    <t>2023-02-0223</t>
  </si>
  <si>
    <t>2023-05-0708</t>
  </si>
  <si>
    <t>2023-11-2335</t>
  </si>
  <si>
    <t>2024-02-0187</t>
  </si>
  <si>
    <t>ESTACION PUENTE REAL</t>
  </si>
  <si>
    <t>LOT-202-RIO-400-RIO_NEGRO</t>
  </si>
  <si>
    <t>R. 112-5304-2016 - Río Negro - Tramo: 4 - Río Negro</t>
  </si>
  <si>
    <t>06°08'36,14"</t>
  </si>
  <si>
    <t>75°22'47,61"</t>
  </si>
  <si>
    <t>2024-06-0841</t>
  </si>
  <si>
    <t>2022-06-0948</t>
  </si>
  <si>
    <t>2022-11-2250</t>
  </si>
  <si>
    <t>2023-03-0240</t>
  </si>
  <si>
    <t>&gt;121,0</t>
  </si>
  <si>
    <t>2023-05-0792</t>
  </si>
  <si>
    <t>2024-06-0861</t>
  </si>
  <si>
    <t>2024-11-2004</t>
  </si>
  <si>
    <t> 2021-07-1219</t>
  </si>
  <si>
    <t>ESTACION BOX COULVERT KM 24</t>
  </si>
  <si>
    <t>LOT-087-GUA-300-LA_MOSCA</t>
  </si>
  <si>
    <t>06°15'55,25"</t>
  </si>
  <si>
    <t>75°26'17,29"</t>
  </si>
  <si>
    <t>2019-11-2765</t>
  </si>
  <si>
    <t>2020-02-0231</t>
  </si>
  <si>
    <t>2024-11-1989</t>
  </si>
  <si>
    <t> 2020-08-1110 </t>
  </si>
  <si>
    <t> 2020-11-1865 </t>
  </si>
  <si>
    <t> 2021-07-1206 </t>
  </si>
  <si>
    <t>2019-11-2757</t>
  </si>
  <si>
    <t>2020-02-0223</t>
  </si>
  <si>
    <t>2021-02-192</t>
  </si>
  <si>
    <t>2021-11-2219</t>
  </si>
  <si>
    <t>2022-02-0217</t>
  </si>
  <si>
    <t>2022-06-0905</t>
  </si>
  <si>
    <t>2022-11-2185</t>
  </si>
  <si>
    <t>2023-02-0224</t>
  </si>
  <si>
    <t>2020-08-1117</t>
  </si>
  <si>
    <t>2020-11-1880</t>
  </si>
  <si>
    <t>2021-02-210</t>
  </si>
  <si>
    <t>2021-11-2230</t>
  </si>
  <si>
    <t>2022-03-0242</t>
  </si>
  <si>
    <t>2023-11-2341</t>
  </si>
  <si>
    <t>2024-02-0192</t>
  </si>
  <si>
    <t>2024-06-0846</t>
  </si>
  <si>
    <t>2024-11-1994</t>
  </si>
  <si>
    <t>2023-11-2391</t>
  </si>
  <si>
    <t>2024-03-0234</t>
  </si>
  <si>
    <t>2024-06-0910</t>
  </si>
  <si>
    <t>2024-12-2092</t>
  </si>
  <si>
    <t>2023-05-0709</t>
  </si>
  <si>
    <t>2023-11-2336</t>
  </si>
  <si>
    <t>2024-02-0188</t>
  </si>
  <si>
    <t>ESTACION PUENTE ANTES DE LA EBAR EPRIO</t>
  </si>
  <si>
    <t>LOT-203-RIO-500-RIO_NEGRO</t>
  </si>
  <si>
    <t>06°09'09,62"</t>
  </si>
  <si>
    <t>75°22'10,43"</t>
  </si>
  <si>
    <t>2024-06-0842</t>
  </si>
  <si>
    <t>2024-11-1990</t>
  </si>
  <si>
    <t> 2020-08-1111 </t>
  </si>
  <si>
    <t> 2020-11-1866 </t>
  </si>
  <si>
    <t> 2021-07-1207 </t>
  </si>
  <si>
    <t>2019-11-2760</t>
  </si>
  <si>
    <t>2020-02-0226</t>
  </si>
  <si>
    <t>2022-06-0926</t>
  </si>
  <si>
    <t>2022-11-2207</t>
  </si>
  <si>
    <t>2023-03-0247</t>
  </si>
  <si>
    <t>&gt;60,1</t>
  </si>
  <si>
    <t>2023-05-0727</t>
  </si>
  <si>
    <t>2023-11-2325</t>
  </si>
  <si>
    <t>2019-11-2762</t>
  </si>
  <si>
    <t>ESTACION COLTEPUNTO</t>
  </si>
  <si>
    <t>LOT-136-MAR-400-LA_CIMARRONA</t>
  </si>
  <si>
    <t>06°10'08,07"</t>
  </si>
  <si>
    <t>75°21'26,26"</t>
  </si>
  <si>
    <t>2020-02-0228</t>
  </si>
  <si>
    <t>2020-08-1097</t>
  </si>
  <si>
    <t>2020-11-1851</t>
  </si>
  <si>
    <t> 2021-07-1193</t>
  </si>
  <si>
    <t>ESTACION PUENTE LA FERIA</t>
  </si>
  <si>
    <t>LOT-139-MAR-600-LA_MARINILLA</t>
  </si>
  <si>
    <t>06°10'21,02"</t>
  </si>
  <si>
    <t>75°20'16,34"</t>
  </si>
  <si>
    <t>2019-11-2768</t>
  </si>
  <si>
    <t>2020-02-0234</t>
  </si>
  <si>
    <t>2020-08-1122</t>
  </si>
  <si>
    <t>2021-02-193</t>
  </si>
  <si>
    <t>2021-11-2220</t>
  </si>
  <si>
    <t>2022-02-0218</t>
  </si>
  <si>
    <t>2022-06-0906</t>
  </si>
  <si>
    <t>2022-11-2186</t>
  </si>
  <si>
    <t>2023-02-0225</t>
  </si>
  <si>
    <t>2023-05-0710</t>
  </si>
  <si>
    <t>2023-11-2337</t>
  </si>
  <si>
    <t>2024-02-0189</t>
  </si>
  <si>
    <t>ESTACION DESPUES DE LA DESCARGA DE LA PTARD MUNICIPIO DE RIONEGRO</t>
  </si>
  <si>
    <t>LOT-204-RIO-600-RIO_NEGRO</t>
  </si>
  <si>
    <t>06°10'13,00"</t>
  </si>
  <si>
    <t>75°21'55,00"</t>
  </si>
  <si>
    <t>2024-06-0843</t>
  </si>
  <si>
    <t>2024-02-0176</t>
  </si>
  <si>
    <t>2024-06-0862</t>
  </si>
  <si>
    <t>2024-11-2005</t>
  </si>
  <si>
    <t> 2021-07-1220</t>
  </si>
  <si>
    <t>OMYA</t>
  </si>
  <si>
    <t>LOT-088-GUA-400-LA_MOSCA</t>
  </si>
  <si>
    <t>06°13'34,97"</t>
  </si>
  <si>
    <t>75°24'07,65"</t>
  </si>
  <si>
    <t>2019-11-2773</t>
  </si>
  <si>
    <t>2021-02-179</t>
  </si>
  <si>
    <t>2021-07-1215</t>
  </si>
  <si>
    <t>2021-11-2226</t>
  </si>
  <si>
    <t>2022-03-0262</t>
  </si>
  <si>
    <t>2020-11-1885</t>
  </si>
  <si>
    <t>2021-02-215</t>
  </si>
  <si>
    <t>2021-11-2206</t>
  </si>
  <si>
    <t>2022-03-0250</t>
  </si>
  <si>
    <t>2024-11-1991</t>
  </si>
  <si>
    <t> 2021-07-1208 </t>
  </si>
  <si>
    <t>2019-11-2778</t>
  </si>
  <si>
    <t>2020-02-0243</t>
  </si>
  <si>
    <t>2020-11-1867</t>
  </si>
  <si>
    <t>2021-02-194</t>
  </si>
  <si>
    <t>2021-11-2221</t>
  </si>
  <si>
    <t>2022-02-0219</t>
  </si>
  <si>
    <t>2022-06-0949</t>
  </si>
  <si>
    <t>2022-11-2251</t>
  </si>
  <si>
    <t>2023-03-0241</t>
  </si>
  <si>
    <t>&gt;30,5</t>
  </si>
  <si>
    <t>2023-05-0780</t>
  </si>
  <si>
    <t>2020-02-0239</t>
  </si>
  <si>
    <t>2020-08-1118</t>
  </si>
  <si>
    <t>2020-11-1881</t>
  </si>
  <si>
    <t>2021-02-211</t>
  </si>
  <si>
    <t>2021-11-2231</t>
  </si>
  <si>
    <t>2022-06-0907</t>
  </si>
  <si>
    <t>2022-11-2187</t>
  </si>
  <si>
    <t>2022-06-0953</t>
  </si>
  <si>
    <t>2022-11-2255</t>
  </si>
  <si>
    <t>2023-03-0258</t>
  </si>
  <si>
    <t>&gt;50,9</t>
  </si>
  <si>
    <t>2023-05-0715</t>
  </si>
  <si>
    <t>2023-02-0226</t>
  </si>
  <si>
    <t>2023-05-0711</t>
  </si>
  <si>
    <t>2023-11-2338</t>
  </si>
  <si>
    <t>2024-02-0190</t>
  </si>
  <si>
    <t>ESTACION PUENTE AUTOPISTA</t>
  </si>
  <si>
    <t>LOT-205-RIO-700-RIO_NEGRO</t>
  </si>
  <si>
    <t>06°10'42,00"</t>
  </si>
  <si>
    <t>75°21'40,00"</t>
  </si>
  <si>
    <t>2024-06-0844</t>
  </si>
  <si>
    <t>2024-11-1992</t>
  </si>
  <si>
    <t> 2021-07-1209</t>
  </si>
  <si>
    <t>2019-11-2758</t>
  </si>
  <si>
    <t>2023-11-2342</t>
  </si>
  <si>
    <t>2024-02-0193</t>
  </si>
  <si>
    <t>2024-06-0847</t>
  </si>
  <si>
    <t>2024-11-1995</t>
  </si>
  <si>
    <t>2020-02-0224</t>
  </si>
  <si>
    <t>2020-08-1113</t>
  </si>
  <si>
    <t>2022-03-0243</t>
  </si>
  <si>
    <t>2022-06-0927</t>
  </si>
  <si>
    <t>2022-11-2208</t>
  </si>
  <si>
    <t>2023-03-0248</t>
  </si>
  <si>
    <t>&gt;17,5</t>
  </si>
  <si>
    <t>2023-05-0728</t>
  </si>
  <si>
    <t>2023-11-2375</t>
  </si>
  <si>
    <t>2024-03-0222</t>
  </si>
  <si>
    <t>2024-06-0898</t>
  </si>
  <si>
    <t>2024-12-2080</t>
  </si>
  <si>
    <t>2020-11-1868</t>
  </si>
  <si>
    <t>2021-02-195</t>
  </si>
  <si>
    <t>2023-11-2326</t>
  </si>
  <si>
    <t>2024-02-0177</t>
  </si>
  <si>
    <t>2024-06-0863</t>
  </si>
  <si>
    <t>2024-11-2006</t>
  </si>
  <si>
    <t> 2021-07-1221</t>
  </si>
  <si>
    <t>ESTACION RIOTEX</t>
  </si>
  <si>
    <t>LOT-179-RIO-500-LA_MOSCA</t>
  </si>
  <si>
    <t>06°10'51,60"</t>
  </si>
  <si>
    <t>75°22'00,15"</t>
  </si>
  <si>
    <t>2021-11-2222</t>
  </si>
  <si>
    <t>2022-02-0220</t>
  </si>
  <si>
    <t>2022-06-0908</t>
  </si>
  <si>
    <t>2022-11-2188</t>
  </si>
  <si>
    <t>2023-02-0227</t>
  </si>
  <si>
    <t>2023-05-0712</t>
  </si>
  <si>
    <t>2023-11-2339</t>
  </si>
  <si>
    <t>2024-06-0857</t>
  </si>
  <si>
    <t>ESTACION LA FRESERA</t>
  </si>
  <si>
    <t>LOT-206-RIO-800-RIO_NEGRO</t>
  </si>
  <si>
    <t>R. 112-5304-2016 - Río Negro - Tramo: 5 - Río Negro</t>
  </si>
  <si>
    <t>06°11'49,00"</t>
  </si>
  <si>
    <t>75°20'52,00"</t>
  </si>
  <si>
    <t> 2021-07-1194</t>
  </si>
  <si>
    <t>ESTACION ALCARAVANES</t>
  </si>
  <si>
    <t>LOT-140-MAR-700-LA_MARINILLA</t>
  </si>
  <si>
    <t>06°11'05,96"</t>
  </si>
  <si>
    <t>75°21'01,26"</t>
  </si>
  <si>
    <t>2019-11-2769</t>
  </si>
  <si>
    <t>2020-02-0235</t>
  </si>
  <si>
    <t>2020-08-1123</t>
  </si>
  <si>
    <t>2019-11-2763</t>
  </si>
  <si>
    <t>ESTACION PUENTE VIA EL TRANVIA</t>
  </si>
  <si>
    <t>LOT-137-MAR-500-LA_CIMARRONA</t>
  </si>
  <si>
    <t>06°10'24,99"</t>
  </si>
  <si>
    <t>75°21'45,64"</t>
  </si>
  <si>
    <t>2020-02-0229</t>
  </si>
  <si>
    <t>2020-08-1098</t>
  </si>
  <si>
    <t>2020-11-1852</t>
  </si>
  <si>
    <t>2024-11-2000</t>
  </si>
  <si>
    <t>2024-02-0171</t>
  </si>
  <si>
    <t>2019-11-2766</t>
  </si>
  <si>
    <t>2020-02-0232</t>
  </si>
  <si>
    <t>2020-08-1119</t>
  </si>
  <si>
    <t>2020-11-1882</t>
  </si>
  <si>
    <t>2021-02-212</t>
  </si>
  <si>
    <t> 2020-08-1126 </t>
  </si>
  <si>
    <t> 2020-11-1875 </t>
  </si>
  <si>
    <t> 2021-07-1224 </t>
  </si>
  <si>
    <t>2019-11-2777</t>
  </si>
  <si>
    <t>2020-02-0242_C</t>
  </si>
  <si>
    <t>2021-02-219</t>
  </si>
  <si>
    <t>2021-12-2342</t>
  </si>
  <si>
    <t>2022-02-0228</t>
  </si>
  <si>
    <t>2020-11-1886</t>
  </si>
  <si>
    <t>2021-02-216</t>
  </si>
  <si>
    <t>2021-11-2207</t>
  </si>
  <si>
    <t>2022-03-0251</t>
  </si>
  <si>
    <t>2021-02-180</t>
  </si>
  <si>
    <t>2021-07-1216</t>
  </si>
  <si>
    <t>2021-11-2227</t>
  </si>
  <si>
    <t>2022-03-0263</t>
  </si>
  <si>
    <t>2022-06-0921</t>
  </si>
  <si>
    <t>2022-11-2202</t>
  </si>
  <si>
    <t>2023-03-0253</t>
  </si>
  <si>
    <t>&gt;59,3</t>
  </si>
  <si>
    <t>2023-05-0722</t>
  </si>
  <si>
    <t>2023-11-2320</t>
  </si>
  <si>
    <t>2024-06-0858</t>
  </si>
  <si>
    <t>ESTACION RIO ABAJO</t>
  </si>
  <si>
    <t>LOT-143-MAR-900-RIO_NEGRO</t>
  </si>
  <si>
    <t>R. 112-5304-2016 - Río Negro - Tramo: 6 - Río Negro</t>
  </si>
  <si>
    <t>06°15'40,60"</t>
  </si>
  <si>
    <t>75°17'43,46"</t>
  </si>
  <si>
    <t>2024-11-2001</t>
  </si>
  <si>
    <t>2024-02-0172</t>
  </si>
  <si>
    <t>2022-06-0954</t>
  </si>
  <si>
    <t>2022-11-2256</t>
  </si>
  <si>
    <t>2023-03-0259</t>
  </si>
  <si>
    <t>&gt;59,5</t>
  </si>
  <si>
    <t>2023-05-0716</t>
  </si>
  <si>
    <t> 2020-11-1876</t>
  </si>
  <si>
    <t> 2021-07-1225</t>
  </si>
  <si>
    <t>2021-11-2232</t>
  </si>
  <si>
    <t>2022-03-0244</t>
  </si>
  <si>
    <t>2022-06-0928</t>
  </si>
  <si>
    <t>2022-11-2209</t>
  </si>
  <si>
    <t>2023-03-0249</t>
  </si>
  <si>
    <t>&gt;43,8</t>
  </si>
  <si>
    <t>2022-06-0950</t>
  </si>
  <si>
    <t>2022-11-2252</t>
  </si>
  <si>
    <t>2023-03-0242</t>
  </si>
  <si>
    <t>&gt;35,4</t>
  </si>
  <si>
    <t>2023-05-0781</t>
  </si>
  <si>
    <t>2019-11-2775</t>
  </si>
  <si>
    <t>2020-02-0240</t>
  </si>
  <si>
    <t>2021-02-220</t>
  </si>
  <si>
    <t>2021-12-2343</t>
  </si>
  <si>
    <t>2022-02-0229</t>
  </si>
  <si>
    <t>2022-06-0922</t>
  </si>
  <si>
    <t>2022-11-2203</t>
  </si>
  <si>
    <t>2023-03-0254</t>
  </si>
  <si>
    <t>&gt;45,4</t>
  </si>
  <si>
    <t>2023-11-2343</t>
  </si>
  <si>
    <t>2024-02-0194</t>
  </si>
  <si>
    <t>2024-06-0848</t>
  </si>
  <si>
    <t>2024-11-1996</t>
  </si>
  <si>
    <t>2023-05-0723</t>
  </si>
  <si>
    <t>2023-11-2321</t>
  </si>
  <si>
    <t>2023-05-0729</t>
  </si>
  <si>
    <t>2023-11-2327</t>
  </si>
  <si>
    <t>2024-02-0178</t>
  </si>
  <si>
    <t>2024-06-0864</t>
  </si>
  <si>
    <t>2024-11-2007</t>
  </si>
  <si>
    <t>2023-11-2376</t>
  </si>
  <si>
    <t>2024-03-0223</t>
  </si>
  <si>
    <t>2024-06-0899</t>
  </si>
  <si>
    <t>2024-12-2081</t>
  </si>
  <si>
    <t>Promedio de Color real λ=436 nm (m⁻¹)</t>
  </si>
  <si>
    <t>Etiquetas de columna</t>
  </si>
  <si>
    <t>Etiquetas de fila</t>
  </si>
  <si>
    <t>Total general</t>
  </si>
  <si>
    <t>Comportamiento estadistico por estación según historicos</t>
  </si>
  <si>
    <t>Mediciones por año en color para todos los tramos</t>
  </si>
  <si>
    <t>Todas las estaciones y mediciones</t>
  </si>
  <si>
    <t>Orden</t>
  </si>
  <si>
    <t>Estaciones</t>
  </si>
  <si>
    <t>λ=436 (m⁻¹)</t>
  </si>
  <si>
    <t>Intervalo de confianza para n&gt;30</t>
  </si>
  <si>
    <t>Alerta</t>
  </si>
  <si>
    <t>Revisión</t>
  </si>
  <si>
    <t>Aceptado</t>
  </si>
  <si>
    <t>Nivel de confianza</t>
  </si>
  <si>
    <t>Nivel de significancia</t>
  </si>
  <si>
    <t>Z(1-a/2)</t>
  </si>
  <si>
    <t>Intervalo de confianza</t>
  </si>
  <si>
    <t>L inf</t>
  </si>
  <si>
    <t>L sup</t>
  </si>
  <si>
    <t>Todos</t>
  </si>
  <si>
    <t>Mín</t>
  </si>
  <si>
    <t>Media</t>
  </si>
  <si>
    <t>Max</t>
  </si>
  <si>
    <t>DS</t>
  </si>
  <si>
    <t>λ=525 (m⁻¹)</t>
  </si>
  <si>
    <t>λ=620 (m⁻¹)</t>
  </si>
  <si>
    <t>n</t>
  </si>
  <si>
    <t>Fecha i</t>
  </si>
  <si>
    <t>Fecha f</t>
  </si>
  <si>
    <t>IC</t>
  </si>
  <si>
    <t>LS "Normal"</t>
  </si>
  <si>
    <t>Mínimo</t>
  </si>
  <si>
    <t>Máximo</t>
  </si>
  <si>
    <t>Promedio</t>
  </si>
  <si>
    <t>Condiciones normales de los cuerpos de agua (distribución normal)</t>
  </si>
  <si>
    <t>Rio Pantanillo</t>
  </si>
  <si>
    <t>Condiciones normales por estación (n&lt;30, t-student)</t>
  </si>
  <si>
    <t>Relación de mezclas lineales</t>
  </si>
  <si>
    <t>Normal</t>
  </si>
  <si>
    <t>Valor de referencia</t>
  </si>
  <si>
    <t>Límite máximo</t>
  </si>
  <si>
    <t>Límite máximo permitido de acuerdo a caudal vertido a Río Negro</t>
  </si>
  <si>
    <t>C1</t>
  </si>
  <si>
    <t>Q1</t>
  </si>
  <si>
    <t>Cv</t>
  </si>
  <si>
    <t>Qv</t>
  </si>
  <si>
    <t>C2</t>
  </si>
  <si>
    <t>Caudal de vertimiento</t>
  </si>
  <si>
    <t>Caudal vertido (L/s)</t>
  </si>
  <si>
    <t>&gt;0 y ≤1</t>
  </si>
  <si>
    <t>&gt;1 y ≤2</t>
  </si>
  <si>
    <t>&gt;2 y ≤3</t>
  </si>
  <si>
    <t>&gt;3 y ≤4</t>
  </si>
  <si>
    <t>&gt;4 y ≤5</t>
  </si>
  <si>
    <t>&gt;5 y ≤6</t>
  </si>
  <si>
    <t>&gt;6 y ≤8</t>
  </si>
  <si>
    <t>&gt;6 y ≤7</t>
  </si>
  <si>
    <t>&gt;8 y ≤13</t>
  </si>
  <si>
    <t>&gt;7 y ≤8</t>
  </si>
  <si>
    <t>&gt;8 y ≤11</t>
  </si>
  <si>
    <t>&gt;13 y ≤25</t>
  </si>
  <si>
    <t>&gt;8 y ≤10</t>
  </si>
  <si>
    <t>&gt;11 y ≤19</t>
  </si>
  <si>
    <t>&gt;25</t>
  </si>
  <si>
    <t>&gt;10 y ≤12</t>
  </si>
  <si>
    <t>&gt;19</t>
  </si>
  <si>
    <t>&gt;12 y ≤16</t>
  </si>
  <si>
    <t>&gt;16 y ≤23</t>
  </si>
  <si>
    <t>&gt;23 y ≤30</t>
  </si>
  <si>
    <t>&gt;30</t>
  </si>
  <si>
    <t>Límite máximo permitido de acuerdo a caudal vertido a La Quebrada la Cimarrona</t>
  </si>
  <si>
    <t>&gt;1</t>
  </si>
  <si>
    <t>&gt;3 y ≤9</t>
  </si>
  <si>
    <t>&gt;3 y ≤7</t>
  </si>
  <si>
    <t>&gt;9</t>
  </si>
  <si>
    <t>&gt;7</t>
  </si>
  <si>
    <t>Límite máximo permitido de acuerdo a caudal vertido a La Quebrada la Marinilla</t>
  </si>
  <si>
    <t>&gt;8 y ≤12</t>
  </si>
  <si>
    <t>&gt;7 y ≤9</t>
  </si>
  <si>
    <t>&gt;12 y ≤26</t>
  </si>
  <si>
    <t>&gt;9 y ≤12</t>
  </si>
  <si>
    <t>&gt;9 y ≤11</t>
  </si>
  <si>
    <t>&gt;26</t>
  </si>
  <si>
    <t>&gt;12 y ≤17</t>
  </si>
  <si>
    <t>&gt;11 y ≤15</t>
  </si>
  <si>
    <t>&gt;17 y ≤29</t>
  </si>
  <si>
    <t>&gt;15 y ≤25</t>
  </si>
  <si>
    <t>&gt;29</t>
  </si>
  <si>
    <t>Límite máximo permitido de acuerdo a caudal vertido a La Quebrada la Mosca</t>
  </si>
  <si>
    <t>&gt;0</t>
  </si>
  <si>
    <t>&gt;1 y ≤3</t>
  </si>
  <si>
    <t>&gt;</t>
  </si>
  <si>
    <t>&gt;3</t>
  </si>
  <si>
    <t>FUENTE HÍDRICA PRINCIPAL</t>
  </si>
  <si>
    <t>RAZON SOCIAL</t>
  </si>
  <si>
    <t>Clasificación ARD</t>
  </si>
  <si>
    <t>Tipo de vertimiento</t>
  </si>
  <si>
    <t>Mide color</t>
  </si>
  <si>
    <t>Criterio</t>
  </si>
  <si>
    <t>DC</t>
  </si>
  <si>
    <t>SST (mg/L)</t>
  </si>
  <si>
    <t>¿Cumple Color?</t>
  </si>
  <si>
    <t>Cumple DBO?</t>
  </si>
  <si>
    <t>Cumple DQO?</t>
  </si>
  <si>
    <t>Cumple SST?</t>
  </si>
  <si>
    <t>Observación</t>
  </si>
  <si>
    <t>Carga menor o igual a 625 kg/día DBO5</t>
  </si>
  <si>
    <t>ARD y ARnD</t>
  </si>
  <si>
    <t>Si</t>
  </si>
  <si>
    <t>N.R.</t>
  </si>
  <si>
    <t>Cumple todo</t>
  </si>
  <si>
    <t>Carga mayor a 3000 kg/día DBO5</t>
  </si>
  <si>
    <t>ARD</t>
  </si>
  <si>
    <t>6,96-8,03</t>
  </si>
  <si>
    <t>No cumple nada</t>
  </si>
  <si>
    <t>7,16-8,25</t>
  </si>
  <si>
    <t>Elaboración de productos alimenticios</t>
  </si>
  <si>
    <t>-</t>
  </si>
  <si>
    <t>ARnD</t>
  </si>
  <si>
    <t>7,42-7,59</t>
  </si>
  <si>
    <t>7,525-7,871</t>
  </si>
  <si>
    <t>SI</t>
  </si>
  <si>
    <t>7,4-7,54</t>
  </si>
  <si>
    <t>Cumple color, el restante no</t>
  </si>
  <si>
    <t>7,0-7,17</t>
  </si>
  <si>
    <t>No cumple color, el restante si</t>
  </si>
  <si>
    <t>Fabricación de productos textiles</t>
  </si>
  <si>
    <t>7,25-7,50</t>
  </si>
  <si>
    <t>No cumple color, el restante si parcial</t>
  </si>
  <si>
    <t>Carga mayor a 625 kg/día y menor o igual a 3000 kg/día DBO5</t>
  </si>
  <si>
    <t>ARD y ArnD</t>
  </si>
  <si>
    <t>7,35-8,65</t>
  </si>
  <si>
    <t>7,29-7,59</t>
  </si>
  <si>
    <t>No cumple color, el restante no parcial</t>
  </si>
  <si>
    <t>7,24-80,22</t>
  </si>
  <si>
    <t>7,20-7,35</t>
  </si>
  <si>
    <t>7,22 - 8,23</t>
  </si>
  <si>
    <t>7,14-7,38</t>
  </si>
  <si>
    <t>6,97-7,35</t>
  </si>
  <si>
    <t>7,09-7,34</t>
  </si>
  <si>
    <t>6,85-7,14</t>
  </si>
  <si>
    <t>Cumple color, el restante no parcial</t>
  </si>
  <si>
    <t>Dato</t>
  </si>
  <si>
    <t>Rionegro por fuera del límite</t>
  </si>
  <si>
    <t>VERTIMIENTO</t>
  </si>
  <si>
    <t>Clasificacion Resolucion 0631/2015</t>
  </si>
  <si>
    <t>FABRICATO S.A.S (Parque Industrial con asentamiento de dos Textileras LindaTextil y Colorink)</t>
  </si>
  <si>
    <t>Z(1/a/2)</t>
  </si>
  <si>
    <t>FABRICA DE AREPAS LA MAYORCA</t>
  </si>
  <si>
    <t>0,78 ± 0,09</t>
  </si>
  <si>
    <t>0,36 ± 0,05</t>
  </si>
  <si>
    <t>0,20 ± 0,03</t>
  </si>
  <si>
    <t>INDUSTRIAS CÁRNICAS DEL ORIENTE S.A.</t>
  </si>
  <si>
    <t>Ganadería de Bovinos y Porcinos (Beneficio Dual)</t>
  </si>
  <si>
    <t>Propuesta de límite</t>
  </si>
  <si>
    <t>COMPAÑÍA NACIONAL DE CHOCOLATES S.A.</t>
  </si>
  <si>
    <t>Límite de cuantificación</t>
  </si>
  <si>
    <t>La Marinilla</t>
  </si>
  <si>
    <t>FRIGOANTIOQUIA</t>
  </si>
  <si>
    <t>HARIPIELES</t>
  </si>
  <si>
    <t>Ganaderia de Bovinos y Porcinos (Beneficio Dual)</t>
  </si>
  <si>
    <t>0,78 ± 0,18</t>
  </si>
  <si>
    <t>0,34 ± 0,10</t>
  </si>
  <si>
    <t>0,19 ± 0,07</t>
  </si>
  <si>
    <t>La Mosca</t>
  </si>
  <si>
    <t>0,68 ± 0,15</t>
  </si>
  <si>
    <t>0,33 ± 0,10</t>
  </si>
  <si>
    <t>0,20 ± 0,07</t>
  </si>
  <si>
    <t>La Cimarrona</t>
  </si>
  <si>
    <t>1,17 ± 0,32</t>
  </si>
  <si>
    <t>0,69 ± 0,26</t>
  </si>
  <si>
    <t>0,39 ± 0,15</t>
  </si>
  <si>
    <t>Condiciones típicas e historicas (Normal)</t>
  </si>
  <si>
    <t>Mínimo hístorico (2019-2024)</t>
  </si>
  <si>
    <t>Cumple</t>
  </si>
  <si>
    <t>No cumple</t>
  </si>
  <si>
    <t>Cm</t>
  </si>
  <si>
    <t>Declaración de conformidad</t>
  </si>
  <si>
    <t>Evaluación normativa</t>
  </si>
  <si>
    <t>Empresa °1</t>
  </si>
  <si>
    <t>Empresa °2</t>
  </si>
  <si>
    <t>Empresa °3</t>
  </si>
  <si>
    <t>Empresa °4</t>
  </si>
  <si>
    <t>Empresa °5</t>
  </si>
  <si>
    <t>Empresa °6</t>
  </si>
  <si>
    <t>Empresa °7</t>
  </si>
  <si>
    <t>Empresa °8</t>
  </si>
  <si>
    <t>Empresa °9</t>
  </si>
  <si>
    <t>Empresa °10</t>
  </si>
  <si>
    <t>Empresa °11</t>
  </si>
  <si>
    <t>Empresa °12</t>
  </si>
  <si>
    <t>Empresa °13</t>
  </si>
  <si>
    <t>Empresa °14</t>
  </si>
  <si>
    <t>Empresa °15</t>
  </si>
  <si>
    <t>Empresa °16</t>
  </si>
  <si>
    <t>Empresa °17</t>
  </si>
  <si>
    <t>Empresa °18</t>
  </si>
  <si>
    <t>Empresa °19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</si>
</sst>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8"/>
      <name val="Arial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theme="1" tint="0.499984740745262"/>
      <name val="Arial Narrow"/>
      <family val="2"/>
    </font>
    <font>
      <b/>
      <sz val="11"/>
      <color theme="1" tint="0.499984740745262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sz val="11"/>
      <name val="Arial Narrow"/>
      <family val="2"/>
    </font>
    <font>
      <b/>
      <sz val="11"/>
      <color theme="1" tint="0.499984740745262"/>
      <name val="Arial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ck">
        <color rgb="FF4A86E8"/>
      </top>
      <bottom style="thick">
        <color rgb="FF4A86E8"/>
      </bottom>
      <diagonal/>
    </border>
    <border>
      <left/>
      <right style="thick">
        <color rgb="FF4A86E8"/>
      </right>
      <top style="thick">
        <color rgb="FF4A86E8"/>
      </top>
      <bottom style="thick">
        <color rgb="FF4A86E8"/>
      </bottom>
      <diagonal/>
    </border>
    <border>
      <left style="medium">
        <color rgb="FFFFFFFF"/>
      </left>
      <right style="thick">
        <color rgb="FF4A86E8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thick">
        <color rgb="FF4A86E8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thick">
        <color rgb="FF4A86E8"/>
      </bottom>
      <diagonal/>
    </border>
    <border>
      <left style="medium">
        <color rgb="FFCCCCCC"/>
      </left>
      <right style="thick">
        <color rgb="FF4A86E8"/>
      </right>
      <top style="medium">
        <color rgb="FFCCCCCC"/>
      </top>
      <bottom style="thick">
        <color rgb="FF4A86E8"/>
      </bottom>
      <diagonal/>
    </border>
    <border>
      <left style="thick">
        <color rgb="FF4A86E8"/>
      </left>
      <right/>
      <top style="thick">
        <color rgb="FF4A86E8"/>
      </top>
      <bottom style="thick">
        <color rgb="FF4A86E8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2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pivotButton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6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3" borderId="9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10" fillId="0" borderId="0" xfId="0" applyFont="1" applyAlignment="1">
      <alignment horizontal="left" wrapText="1" readingOrder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 readingOrder="1"/>
    </xf>
    <xf numFmtId="9" fontId="10" fillId="0" borderId="0" xfId="0" applyNumberFormat="1" applyFont="1" applyAlignment="1">
      <alignment horizontal="center" vertical="center" wrapText="1" readingOrder="1"/>
    </xf>
    <xf numFmtId="0" fontId="11" fillId="4" borderId="0" xfId="0" applyFont="1" applyFill="1" applyAlignment="1">
      <alignment horizontal="left" wrapText="1" readingOrder="1"/>
    </xf>
    <xf numFmtId="165" fontId="8" fillId="4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14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wrapText="1"/>
    </xf>
    <xf numFmtId="0" fontId="12" fillId="0" borderId="0" xfId="0" applyFont="1"/>
    <xf numFmtId="0" fontId="14" fillId="6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2" fillId="7" borderId="0" xfId="0" applyFont="1" applyFill="1" applyAlignment="1">
      <alignment wrapText="1"/>
    </xf>
    <xf numFmtId="2" fontId="12" fillId="0" borderId="0" xfId="0" applyNumberFormat="1" applyFont="1" applyAlignment="1">
      <alignment horizontal="center" wrapText="1"/>
    </xf>
    <xf numFmtId="0" fontId="12" fillId="8" borderId="0" xfId="0" applyFont="1" applyFill="1" applyAlignment="1">
      <alignment horizontal="center" wrapText="1"/>
    </xf>
    <xf numFmtId="14" fontId="12" fillId="8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15" fillId="8" borderId="0" xfId="0" applyFont="1" applyFill="1" applyAlignment="1">
      <alignment horizontal="center" wrapText="1"/>
    </xf>
    <xf numFmtId="14" fontId="15" fillId="8" borderId="0" xfId="0" applyNumberFormat="1" applyFont="1" applyFill="1" applyAlignment="1">
      <alignment horizontal="center" wrapText="1"/>
    </xf>
    <xf numFmtId="2" fontId="15" fillId="8" borderId="0" xfId="0" applyNumberFormat="1" applyFont="1" applyFill="1" applyAlignment="1">
      <alignment horizontal="center" wrapText="1"/>
    </xf>
    <xf numFmtId="0" fontId="8" fillId="8" borderId="0" xfId="0" applyFont="1" applyFill="1" applyAlignment="1">
      <alignment horizontal="center"/>
    </xf>
    <xf numFmtId="0" fontId="8" fillId="8" borderId="0" xfId="0" applyFont="1" applyFill="1"/>
    <xf numFmtId="0" fontId="4" fillId="8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8" borderId="0" xfId="0" applyFont="1" applyFill="1" applyAlignment="1">
      <alignment horizontal="center"/>
    </xf>
    <xf numFmtId="0" fontId="2" fillId="8" borderId="0" xfId="0" applyFont="1" applyFill="1" applyAlignment="1">
      <alignment wrapText="1"/>
    </xf>
    <xf numFmtId="0" fontId="13" fillId="8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wrapText="1"/>
    </xf>
    <xf numFmtId="0" fontId="16" fillId="8" borderId="0" xfId="0" applyFont="1" applyFill="1" applyAlignment="1">
      <alignment horizontal="center"/>
    </xf>
    <xf numFmtId="0" fontId="17" fillId="8" borderId="0" xfId="0" applyFont="1" applyFill="1" applyAlignment="1">
      <alignment horizontal="center"/>
    </xf>
    <xf numFmtId="0" fontId="12" fillId="8" borderId="0" xfId="0" applyFont="1" applyFill="1" applyAlignment="1">
      <alignment wrapText="1"/>
    </xf>
    <xf numFmtId="9" fontId="0" fillId="0" borderId="0" xfId="0" applyNumberFormat="1" applyAlignment="1">
      <alignment horizontal="center"/>
    </xf>
    <xf numFmtId="2" fontId="13" fillId="0" borderId="0" xfId="0" applyNumberFormat="1" applyFont="1" applyAlignment="1">
      <alignment horizontal="center"/>
    </xf>
    <xf numFmtId="2" fontId="19" fillId="8" borderId="0" xfId="0" applyNumberFormat="1" applyFont="1" applyFill="1" applyAlignment="1">
      <alignment horizontal="center" wrapText="1"/>
    </xf>
    <xf numFmtId="0" fontId="13" fillId="0" borderId="0" xfId="0" applyFont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0" fontId="12" fillId="7" borderId="0" xfId="0" applyFont="1" applyFill="1"/>
    <xf numFmtId="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 wrapText="1"/>
    </xf>
    <xf numFmtId="0" fontId="12" fillId="0" borderId="12" xfId="0" applyFont="1" applyBorder="1" applyAlignment="1">
      <alignment horizontal="right" wrapText="1"/>
    </xf>
    <xf numFmtId="0" fontId="12" fillId="0" borderId="12" xfId="0" applyFont="1" applyBorder="1" applyAlignment="1">
      <alignment wrapText="1"/>
    </xf>
    <xf numFmtId="0" fontId="12" fillId="8" borderId="12" xfId="0" applyFont="1" applyFill="1" applyBorder="1" applyAlignment="1">
      <alignment horizontal="center" wrapText="1"/>
    </xf>
    <xf numFmtId="14" fontId="12" fillId="8" borderId="12" xfId="0" applyNumberFormat="1" applyFont="1" applyFill="1" applyBorder="1" applyAlignment="1">
      <alignment horizontal="center" wrapText="1"/>
    </xf>
    <xf numFmtId="2" fontId="12" fillId="0" borderId="12" xfId="0" applyNumberFormat="1" applyFont="1" applyBorder="1" applyAlignment="1">
      <alignment horizontal="center" wrapText="1"/>
    </xf>
    <xf numFmtId="0" fontId="12" fillId="0" borderId="13" xfId="0" applyFont="1" applyBorder="1" applyAlignment="1">
      <alignment horizontal="right" wrapText="1"/>
    </xf>
    <xf numFmtId="0" fontId="12" fillId="0" borderId="13" xfId="0" applyFont="1" applyBorder="1" applyAlignment="1">
      <alignment wrapText="1"/>
    </xf>
    <xf numFmtId="0" fontId="12" fillId="8" borderId="13" xfId="0" applyFont="1" applyFill="1" applyBorder="1" applyAlignment="1">
      <alignment horizontal="center" wrapText="1"/>
    </xf>
    <xf numFmtId="14" fontId="12" fillId="8" borderId="13" xfId="0" applyNumberFormat="1" applyFont="1" applyFill="1" applyBorder="1" applyAlignment="1">
      <alignment horizontal="center" wrapText="1"/>
    </xf>
    <xf numFmtId="2" fontId="12" fillId="0" borderId="13" xfId="0" applyNumberFormat="1" applyFont="1" applyBorder="1" applyAlignment="1">
      <alignment horizontal="center" wrapText="1"/>
    </xf>
    <xf numFmtId="1" fontId="12" fillId="13" borderId="0" xfId="0" applyNumberFormat="1" applyFont="1" applyFill="1" applyAlignment="1">
      <alignment horizontal="center"/>
    </xf>
    <xf numFmtId="0" fontId="12" fillId="0" borderId="12" xfId="0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0" fontId="12" fillId="7" borderId="12" xfId="0" applyFont="1" applyFill="1" applyBorder="1"/>
    <xf numFmtId="1" fontId="12" fillId="0" borderId="12" xfId="0" applyNumberFormat="1" applyFont="1" applyBorder="1" applyAlignment="1">
      <alignment horizontal="center"/>
    </xf>
    <xf numFmtId="1" fontId="12" fillId="13" borderId="1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11" borderId="0" xfId="0" applyFill="1" applyAlignment="1">
      <alignment horizontal="center"/>
    </xf>
    <xf numFmtId="165" fontId="0" fillId="11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65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3" fillId="8" borderId="0" xfId="0" applyFont="1" applyFill="1" applyAlignment="1">
      <alignment horizontal="center"/>
    </xf>
    <xf numFmtId="0" fontId="0" fillId="8" borderId="0" xfId="0" applyFill="1"/>
    <xf numFmtId="2" fontId="0" fillId="8" borderId="0" xfId="0" applyNumberFormat="1" applyFill="1" applyAlignment="1">
      <alignment horizontal="center"/>
    </xf>
    <xf numFmtId="1" fontId="0" fillId="8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2" fontId="20" fillId="8" borderId="0" xfId="0" applyNumberFormat="1" applyFont="1" applyFill="1" applyAlignment="1">
      <alignment horizontal="center"/>
    </xf>
    <xf numFmtId="1" fontId="20" fillId="8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0" fillId="17" borderId="0" xfId="0" applyFill="1" applyAlignment="1">
      <alignment horizontal="center"/>
    </xf>
    <xf numFmtId="0" fontId="0" fillId="17" borderId="0" xfId="0" applyFill="1" applyAlignment="1">
      <alignment horizontal="center" vertical="center"/>
    </xf>
    <xf numFmtId="0" fontId="8" fillId="17" borderId="0" xfId="0" applyFont="1" applyFill="1"/>
    <xf numFmtId="0" fontId="8" fillId="17" borderId="0" xfId="0" applyFont="1" applyFill="1" applyAlignment="1">
      <alignment horizontal="center"/>
    </xf>
    <xf numFmtId="0" fontId="8" fillId="17" borderId="0" xfId="0" applyFont="1" applyFill="1" applyAlignment="1">
      <alignment horizontal="center" vertical="center"/>
    </xf>
    <xf numFmtId="0" fontId="0" fillId="17" borderId="0" xfId="0" applyFill="1" applyAlignment="1">
      <alignment horizontal="center" vertical="center" wrapText="1"/>
    </xf>
    <xf numFmtId="0" fontId="0" fillId="17" borderId="0" xfId="0" applyFill="1" applyAlignment="1">
      <alignment vertical="center"/>
    </xf>
    <xf numFmtId="0" fontId="0" fillId="9" borderId="0" xfId="0" applyFill="1" applyAlignment="1">
      <alignment horizontal="center"/>
    </xf>
    <xf numFmtId="165" fontId="0" fillId="9" borderId="0" xfId="0" applyNumberFormat="1" applyFill="1" applyAlignment="1">
      <alignment horizontal="center"/>
    </xf>
    <xf numFmtId="165" fontId="0" fillId="13" borderId="0" xfId="0" applyNumberFormat="1" applyFill="1" applyAlignment="1">
      <alignment horizontal="center"/>
    </xf>
    <xf numFmtId="165" fontId="0" fillId="15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2" fontId="21" fillId="0" borderId="0" xfId="0" applyNumberFormat="1" applyFont="1" applyAlignment="1">
      <alignment horizontal="center"/>
    </xf>
    <xf numFmtId="0" fontId="22" fillId="0" borderId="0" xfId="2"/>
    <xf numFmtId="0" fontId="13" fillId="15" borderId="0" xfId="0" applyFont="1" applyFill="1" applyAlignment="1">
      <alignment horizontal="center" vertical="center" wrapText="1"/>
    </xf>
    <xf numFmtId="0" fontId="13" fillId="11" borderId="0" xfId="0" applyFont="1" applyFill="1" applyAlignment="1">
      <alignment horizontal="center" vertical="center" wrapText="1"/>
    </xf>
    <xf numFmtId="0" fontId="13" fillId="13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wrapText="1"/>
    </xf>
    <xf numFmtId="0" fontId="8" fillId="17" borderId="0" xfId="0" applyFont="1" applyFill="1" applyAlignment="1">
      <alignment horizontal="center" wrapText="1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8" borderId="0" xfId="0" applyFont="1" applyFill="1" applyAlignment="1">
      <alignment horizontal="center"/>
    </xf>
    <xf numFmtId="0" fontId="4" fillId="9" borderId="0" xfId="0" applyFont="1" applyFill="1" applyAlignment="1">
      <alignment horizontal="center" wrapText="1"/>
    </xf>
    <xf numFmtId="0" fontId="8" fillId="9" borderId="0" xfId="0" applyFont="1" applyFill="1" applyAlignment="1">
      <alignment horizontal="center"/>
    </xf>
    <xf numFmtId="0" fontId="4" fillId="11" borderId="0" xfId="0" applyFont="1" applyFill="1" applyAlignment="1">
      <alignment horizontal="center" wrapText="1"/>
    </xf>
    <xf numFmtId="0" fontId="8" fillId="11" borderId="0" xfId="0" applyFont="1" applyFill="1" applyAlignment="1">
      <alignment horizontal="center"/>
    </xf>
    <xf numFmtId="0" fontId="4" fillId="12" borderId="0" xfId="0" applyFont="1" applyFill="1" applyAlignment="1">
      <alignment horizontal="center" wrapText="1"/>
    </xf>
    <xf numFmtId="0" fontId="8" fillId="12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2" fontId="18" fillId="8" borderId="0" xfId="0" applyNumberFormat="1" applyFont="1" applyFill="1" applyAlignment="1">
      <alignment horizontal="center" vertical="center" wrapText="1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2" fillId="9" borderId="0" xfId="0" applyFont="1" applyFill="1" applyAlignment="1">
      <alignment horizontal="center" wrapText="1"/>
    </xf>
    <xf numFmtId="0" fontId="12" fillId="11" borderId="0" xfId="0" applyFont="1" applyFill="1" applyAlignment="1">
      <alignment horizontal="center" wrapText="1"/>
    </xf>
    <xf numFmtId="0" fontId="12" fillId="10" borderId="0" xfId="0" applyFont="1" applyFill="1" applyAlignment="1">
      <alignment horizontal="center" wrapText="1"/>
    </xf>
    <xf numFmtId="0" fontId="20" fillId="8" borderId="0" xfId="0" applyFont="1" applyFill="1" applyAlignment="1">
      <alignment horizontal="center"/>
    </xf>
    <xf numFmtId="0" fontId="8" fillId="17" borderId="0" xfId="0" applyFont="1" applyFill="1" applyAlignment="1">
      <alignment horizontal="center" wrapText="1"/>
    </xf>
    <xf numFmtId="0" fontId="8" fillId="17" borderId="0" xfId="0" applyFont="1" applyFill="1" applyAlignment="1">
      <alignment horizontal="center"/>
    </xf>
    <xf numFmtId="0" fontId="0" fillId="17" borderId="0" xfId="0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 readingOrder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B5038F96-31EE-42F6-8DAB-4F6E6DC38B13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wrapText="1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numFmt numFmtId="2" formatCode="0.00"/>
    </dxf>
  </dxfs>
  <tableStyles count="0" defaultTableStyle="TableStyleMedium2" defaultPivotStyle="PivotStyleLight16"/>
  <colors>
    <mruColors>
      <color rgb="FFFFFFCC"/>
      <color rgb="FF808000"/>
      <color rgb="FFEBE600"/>
      <color rgb="FFCCCC00"/>
      <color rgb="FF990000"/>
      <color rgb="FFB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Ex1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Ex1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Ex1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Ex16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Ex17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Ex18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Ex19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Ex20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Ex21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Ex22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Ex23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Ex2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Ex25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Ex26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Ex27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Ex2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Ex2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Ex30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Ex31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Ex32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Ex33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Ex34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Ex35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Ex36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Ex37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Ex38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Ex39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Ex40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[Anexo_Tecnico_Tratamiento_Datos_Color.xlsx]TD historicos!TablaDinámica2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'TD historicos'!$B$4:$B$5</c:f>
              <c:strCache>
                <c:ptCount val="1"/>
                <c:pt idx="0">
                  <c:v>2020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'TD historicos'!$A$6:$A$16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'TD historicos'!$B$6:$B$16</c:f>
              <c:numCache>
                <c:formatCode>0.00</c:formatCode>
                <c:ptCount val="10"/>
                <c:pt idx="0">
                  <c:v>0.8</c:v>
                </c:pt>
                <c:pt idx="1">
                  <c:v>0.6</c:v>
                </c:pt>
                <c:pt idx="2">
                  <c:v>0.5</c:v>
                </c:pt>
                <c:pt idx="3">
                  <c:v>0.3</c:v>
                </c:pt>
                <c:pt idx="4">
                  <c:v>0.4</c:v>
                </c:pt>
                <c:pt idx="5">
                  <c:v>0.4</c:v>
                </c:pt>
                <c:pt idx="6">
                  <c:v>1.4</c:v>
                </c:pt>
                <c:pt idx="7">
                  <c:v>1.1000000000000001</c:v>
                </c:pt>
                <c:pt idx="8">
                  <c:v>1.3</c:v>
                </c:pt>
                <c:pt idx="9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4-4828-A785-F8E82D0E1CBF}"/>
            </c:ext>
          </c:extLst>
        </c:ser>
        <c:ser>
          <c:idx val="1"/>
          <c:order val="1"/>
          <c:tx>
            <c:strRef>
              <c:f>'TD historicos'!$C$4:$C$5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'TD historicos'!$A$6:$A$16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'TD historicos'!$C$6:$C$16</c:f>
              <c:numCache>
                <c:formatCode>0.00</c:formatCode>
                <c:ptCount val="10"/>
                <c:pt idx="0">
                  <c:v>0.6</c:v>
                </c:pt>
                <c:pt idx="1">
                  <c:v>0.57999999999999996</c:v>
                </c:pt>
                <c:pt idx="2">
                  <c:v>0.48</c:v>
                </c:pt>
                <c:pt idx="3">
                  <c:v>0.7</c:v>
                </c:pt>
                <c:pt idx="4">
                  <c:v>0.8</c:v>
                </c:pt>
                <c:pt idx="5">
                  <c:v>0.72</c:v>
                </c:pt>
                <c:pt idx="6">
                  <c:v>0.68</c:v>
                </c:pt>
                <c:pt idx="7">
                  <c:v>1.42</c:v>
                </c:pt>
                <c:pt idx="8">
                  <c:v>0.94</c:v>
                </c:pt>
                <c:pt idx="9">
                  <c:v>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24-4828-A785-F8E82D0E1CBF}"/>
            </c:ext>
          </c:extLst>
        </c:ser>
        <c:ser>
          <c:idx val="2"/>
          <c:order val="2"/>
          <c:tx>
            <c:strRef>
              <c:f>'TD historicos'!$D$4:$D$5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'TD historicos'!$A$6:$A$16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'TD historicos'!$D$6:$D$16</c:f>
              <c:numCache>
                <c:formatCode>0.00</c:formatCode>
                <c:ptCount val="10"/>
                <c:pt idx="0">
                  <c:v>1.3</c:v>
                </c:pt>
                <c:pt idx="1">
                  <c:v>1.2</c:v>
                </c:pt>
                <c:pt idx="2">
                  <c:v>1.4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1</c:v>
                </c:pt>
                <c:pt idx="6">
                  <c:v>1</c:v>
                </c:pt>
                <c:pt idx="7">
                  <c:v>1.1000000000000001</c:v>
                </c:pt>
                <c:pt idx="8">
                  <c:v>0.9</c:v>
                </c:pt>
                <c:pt idx="9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24-4828-A785-F8E82D0E1CBF}"/>
            </c:ext>
          </c:extLst>
        </c:ser>
        <c:ser>
          <c:idx val="3"/>
          <c:order val="3"/>
          <c:tx>
            <c:strRef>
              <c:f>'TD historicos'!$E$4:$E$5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'TD historicos'!$A$6:$A$16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'TD historicos'!$E$6:$E$16</c:f>
              <c:numCache>
                <c:formatCode>0.00</c:formatCode>
                <c:ptCount val="10"/>
                <c:pt idx="0">
                  <c:v>0.42</c:v>
                </c:pt>
                <c:pt idx="1">
                  <c:v>0.4</c:v>
                </c:pt>
                <c:pt idx="2">
                  <c:v>0.52</c:v>
                </c:pt>
                <c:pt idx="3">
                  <c:v>0.62</c:v>
                </c:pt>
                <c:pt idx="4">
                  <c:v>0.76</c:v>
                </c:pt>
                <c:pt idx="5">
                  <c:v>1.02</c:v>
                </c:pt>
                <c:pt idx="6">
                  <c:v>1.54</c:v>
                </c:pt>
                <c:pt idx="7">
                  <c:v>1.46</c:v>
                </c:pt>
                <c:pt idx="8">
                  <c:v>1.32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24-4828-A785-F8E82D0E1CBF}"/>
            </c:ext>
          </c:extLst>
        </c:ser>
        <c:ser>
          <c:idx val="4"/>
          <c:order val="4"/>
          <c:tx>
            <c:strRef>
              <c:f>'TD historicos'!$F$4:$F$5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'TD historicos'!$A$6:$A$16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</c:strCache>
            </c:strRef>
          </c:cat>
          <c:val>
            <c:numRef>
              <c:f>'TD historicos'!$F$6:$F$16</c:f>
              <c:numCache>
                <c:formatCode>0.00</c:formatCode>
                <c:ptCount val="10"/>
                <c:pt idx="0">
                  <c:v>1.1000000000000001</c:v>
                </c:pt>
                <c:pt idx="1">
                  <c:v>0.56000000000000005</c:v>
                </c:pt>
                <c:pt idx="2">
                  <c:v>1.06</c:v>
                </c:pt>
                <c:pt idx="3">
                  <c:v>0.66</c:v>
                </c:pt>
                <c:pt idx="4">
                  <c:v>1.1000000000000001</c:v>
                </c:pt>
                <c:pt idx="5">
                  <c:v>0.82</c:v>
                </c:pt>
                <c:pt idx="6">
                  <c:v>2.34</c:v>
                </c:pt>
                <c:pt idx="7">
                  <c:v>1.82</c:v>
                </c:pt>
                <c:pt idx="8">
                  <c:v>1.28</c:v>
                </c:pt>
                <c:pt idx="9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24-4828-A785-F8E82D0E1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9670944"/>
        <c:axId val="1919669984"/>
      </c:lineChart>
      <c:catAx>
        <c:axId val="191967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19669984"/>
        <c:crosses val="autoZero"/>
        <c:auto val="1"/>
        <c:lblAlgn val="ctr"/>
        <c:lblOffset val="100"/>
        <c:noMultiLvlLbl val="0"/>
      </c:catAx>
      <c:valAx>
        <c:axId val="191966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1967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'RN436'!$M$31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cat>
            <c:multiLvlStrRef>
              <c:f>'RN436'!$H$32:$I$41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'RN436'!$M$32:$M$41</c:f>
              <c:numCache>
                <c:formatCode>0.00</c:formatCode>
                <c:ptCount val="10"/>
                <c:pt idx="0">
                  <c:v>1.3</c:v>
                </c:pt>
                <c:pt idx="1">
                  <c:v>2.12</c:v>
                </c:pt>
                <c:pt idx="2">
                  <c:v>1.82</c:v>
                </c:pt>
                <c:pt idx="3">
                  <c:v>2.2000000000000002</c:v>
                </c:pt>
                <c:pt idx="4">
                  <c:v>1.6</c:v>
                </c:pt>
                <c:pt idx="5">
                  <c:v>2.2000000000000002</c:v>
                </c:pt>
                <c:pt idx="6">
                  <c:v>2.34</c:v>
                </c:pt>
                <c:pt idx="7">
                  <c:v>1.82</c:v>
                </c:pt>
                <c:pt idx="8">
                  <c:v>1.86</c:v>
                </c:pt>
                <c:pt idx="9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85-4B0F-A53E-4AB67048660D}"/>
            </c:ext>
          </c:extLst>
        </c:ser>
        <c:ser>
          <c:idx val="1"/>
          <c:order val="2"/>
          <c:tx>
            <c:strRef>
              <c:f>'RN436'!$K$31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'RN436'!$H$32:$I$41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'RN436'!$K$32:$K$41</c:f>
              <c:numCache>
                <c:formatCode>0.00</c:formatCode>
                <c:ptCount val="10"/>
                <c:pt idx="0">
                  <c:v>0.3</c:v>
                </c:pt>
                <c:pt idx="1">
                  <c:v>0.34</c:v>
                </c:pt>
                <c:pt idx="2">
                  <c:v>0.44</c:v>
                </c:pt>
                <c:pt idx="3">
                  <c:v>0.3</c:v>
                </c:pt>
                <c:pt idx="4">
                  <c:v>0.3</c:v>
                </c:pt>
                <c:pt idx="5">
                  <c:v>0.24</c:v>
                </c:pt>
                <c:pt idx="6">
                  <c:v>0.28000000000000003</c:v>
                </c:pt>
                <c:pt idx="7">
                  <c:v>0.08</c:v>
                </c:pt>
                <c:pt idx="8">
                  <c:v>0.3</c:v>
                </c:pt>
                <c:pt idx="9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85-4B0F-A53E-4AB670486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'RN436'!$L$31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'RN436'!$H$32:$I$41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'RN436'!$L$32:$L$41</c:f>
              <c:numCache>
                <c:formatCode>0.00</c:formatCode>
                <c:ptCount val="10"/>
                <c:pt idx="0">
                  <c:v>0.72</c:v>
                </c:pt>
                <c:pt idx="1">
                  <c:v>0.72625000000000006</c:v>
                </c:pt>
                <c:pt idx="2">
                  <c:v>0.77499999999999991</c:v>
                </c:pt>
                <c:pt idx="3">
                  <c:v>0.6974999999999999</c:v>
                </c:pt>
                <c:pt idx="4">
                  <c:v>0.75562500000000021</c:v>
                </c:pt>
                <c:pt idx="5">
                  <c:v>0.80249999999999999</c:v>
                </c:pt>
                <c:pt idx="6">
                  <c:v>1.0293333333333334</c:v>
                </c:pt>
                <c:pt idx="7">
                  <c:v>0.96499999999999997</c:v>
                </c:pt>
                <c:pt idx="8">
                  <c:v>0.93</c:v>
                </c:pt>
                <c:pt idx="9">
                  <c:v>0.83933333333333349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85-4B0F-A53E-4AB670486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'RN436'!$S$22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25400">
              <a:noFill/>
            </a:ln>
            <a:effectLst/>
          </c:spPr>
          <c:cat>
            <c:numRef>
              <c:f>'RN436'!$O$23:$O$28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'RN436'!$S$23:$S$28</c:f>
              <c:numCache>
                <c:formatCode>0.00</c:formatCode>
                <c:ptCount val="6"/>
                <c:pt idx="0">
                  <c:v>0.8</c:v>
                </c:pt>
                <c:pt idx="1">
                  <c:v>1.4</c:v>
                </c:pt>
                <c:pt idx="2">
                  <c:v>1.48</c:v>
                </c:pt>
                <c:pt idx="3">
                  <c:v>1.68</c:v>
                </c:pt>
                <c:pt idx="4">
                  <c:v>1.54</c:v>
                </c:pt>
                <c:pt idx="5">
                  <c:v>2.34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0-408B-BB19-38AA4C19B7E4}"/>
            </c:ext>
          </c:extLst>
        </c:ser>
        <c:ser>
          <c:idx val="1"/>
          <c:order val="2"/>
          <c:tx>
            <c:strRef>
              <c:f>'RN436'!$Q$22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'RN436'!$O$23:$O$28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'RN436'!$Q$23:$Q$28</c:f>
              <c:numCache>
                <c:formatCode>0.00</c:formatCode>
                <c:ptCount val="6"/>
                <c:pt idx="0">
                  <c:v>0.3</c:v>
                </c:pt>
                <c:pt idx="1">
                  <c:v>0.3</c:v>
                </c:pt>
                <c:pt idx="2">
                  <c:v>0.08</c:v>
                </c:pt>
                <c:pt idx="3">
                  <c:v>0.5</c:v>
                </c:pt>
                <c:pt idx="4">
                  <c:v>0.24</c:v>
                </c:pt>
                <c:pt idx="5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50-408B-BB19-38AA4C19B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'RN436'!$R$22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'RN436'!$R$23:$R$28</c:f>
              <c:numCache>
                <c:formatCode>0.00</c:formatCode>
                <c:ptCount val="6"/>
                <c:pt idx="0">
                  <c:v>0.47000000000000003</c:v>
                </c:pt>
                <c:pt idx="1">
                  <c:v>0.86785714285714299</c:v>
                </c:pt>
                <c:pt idx="2">
                  <c:v>0.72400000000000009</c:v>
                </c:pt>
                <c:pt idx="3">
                  <c:v>0.85499999999999987</c:v>
                </c:pt>
                <c:pt idx="4">
                  <c:v>0.60566666666666658</c:v>
                </c:pt>
                <c:pt idx="5">
                  <c:v>1.1813333333333331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50-408B-BB19-38AA4C19B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'RN525'!$M$31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>
              <a:noFill/>
            </a:ln>
            <a:effectLst/>
          </c:spPr>
          <c:cat>
            <c:multiLvlStrRef>
              <c:f>'RN525'!$H$32:$I$41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'RN525'!$M$32:$M$41</c:f>
              <c:numCache>
                <c:formatCode>0.00</c:formatCode>
                <c:ptCount val="10"/>
                <c:pt idx="0">
                  <c:v>0.54</c:v>
                </c:pt>
                <c:pt idx="1">
                  <c:v>1.78</c:v>
                </c:pt>
                <c:pt idx="2">
                  <c:v>1.38</c:v>
                </c:pt>
                <c:pt idx="3">
                  <c:v>1.7</c:v>
                </c:pt>
                <c:pt idx="4">
                  <c:v>1.26</c:v>
                </c:pt>
                <c:pt idx="5">
                  <c:v>1.46</c:v>
                </c:pt>
                <c:pt idx="6">
                  <c:v>1.38</c:v>
                </c:pt>
                <c:pt idx="7">
                  <c:v>1.02</c:v>
                </c:pt>
                <c:pt idx="8">
                  <c:v>1.22</c:v>
                </c:pt>
                <c:pt idx="9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78-44AB-9D52-44B08C39DED1}"/>
            </c:ext>
          </c:extLst>
        </c:ser>
        <c:ser>
          <c:idx val="1"/>
          <c:order val="2"/>
          <c:tx>
            <c:strRef>
              <c:f>'RN525'!$K$31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'RN525'!$H$32:$I$41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'RN525'!$K$32:$K$41</c:f>
              <c:numCache>
                <c:formatCode>0.00</c:formatCode>
                <c:ptCount val="1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0.08</c:v>
                </c:pt>
                <c:pt idx="5">
                  <c:v>0.08</c:v>
                </c:pt>
                <c:pt idx="6">
                  <c:v>0.1</c:v>
                </c:pt>
                <c:pt idx="7">
                  <c:v>0.16</c:v>
                </c:pt>
                <c:pt idx="8">
                  <c:v>0.12</c:v>
                </c:pt>
                <c:pt idx="9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78-44AB-9D52-44B08C39D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'RN525'!$L$31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multiLvlStrRef>
              <c:f>'RN525'!$H$32:$I$41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'RN525'!$L$32:$L$41</c:f>
              <c:numCache>
                <c:formatCode>0.00</c:formatCode>
                <c:ptCount val="10"/>
                <c:pt idx="0">
                  <c:v>0.28625000000000006</c:v>
                </c:pt>
                <c:pt idx="1">
                  <c:v>0.35125000000000006</c:v>
                </c:pt>
                <c:pt idx="2">
                  <c:v>0.34375</c:v>
                </c:pt>
                <c:pt idx="3">
                  <c:v>0.32</c:v>
                </c:pt>
                <c:pt idx="4">
                  <c:v>0.34500000000000008</c:v>
                </c:pt>
                <c:pt idx="5">
                  <c:v>0.36250000000000004</c:v>
                </c:pt>
                <c:pt idx="6">
                  <c:v>0.53466666666666673</c:v>
                </c:pt>
                <c:pt idx="7">
                  <c:v>0.54374999999999996</c:v>
                </c:pt>
                <c:pt idx="8">
                  <c:v>0.505</c:v>
                </c:pt>
                <c:pt idx="9">
                  <c:v>0.41866666666666674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78-44AB-9D52-44B08C39D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'RN525'!$S$22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 w="25400">
              <a:noFill/>
            </a:ln>
            <a:effectLst/>
          </c:spPr>
          <c:cat>
            <c:numRef>
              <c:f>'RN525'!$O$23:$O$28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'RN525'!$S$23:$S$28</c:f>
              <c:numCache>
                <c:formatCode>0.00</c:formatCode>
                <c:ptCount val="6"/>
                <c:pt idx="0">
                  <c:v>0.3</c:v>
                </c:pt>
                <c:pt idx="1">
                  <c:v>0.8</c:v>
                </c:pt>
                <c:pt idx="2">
                  <c:v>1.06</c:v>
                </c:pt>
                <c:pt idx="3">
                  <c:v>0.98</c:v>
                </c:pt>
                <c:pt idx="4">
                  <c:v>0.94</c:v>
                </c:pt>
                <c:pt idx="5">
                  <c:v>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9-4072-931B-57E2FD5AC894}"/>
            </c:ext>
          </c:extLst>
        </c:ser>
        <c:ser>
          <c:idx val="1"/>
          <c:order val="2"/>
          <c:tx>
            <c:strRef>
              <c:f>'RN525'!$Q$22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'RN525'!$O$23:$O$28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'RN525'!$Q$23:$Q$28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0.18</c:v>
                </c:pt>
                <c:pt idx="4">
                  <c:v>0.08</c:v>
                </c:pt>
                <c:pt idx="5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59-4072-931B-57E2FD5AC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'RN525'!$R$22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numRef>
              <c:f>'RN525'!$O$23:$O$28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'RN525'!$R$23:$R$28</c:f>
              <c:numCache>
                <c:formatCode>0.00</c:formatCode>
                <c:ptCount val="6"/>
                <c:pt idx="0">
                  <c:v>0.13</c:v>
                </c:pt>
                <c:pt idx="1">
                  <c:v>0.37500000000000006</c:v>
                </c:pt>
                <c:pt idx="2">
                  <c:v>0.39600000000000007</c:v>
                </c:pt>
                <c:pt idx="3">
                  <c:v>0.35733333333333356</c:v>
                </c:pt>
                <c:pt idx="4">
                  <c:v>0.26733333333333331</c:v>
                </c:pt>
                <c:pt idx="5">
                  <c:v>0.69333333333333336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59-4072-931B-57E2FD5AC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'RN620'!$M$31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f>'RN620'!$H$32:$I$41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'RN620'!$M$32:$M$41</c:f>
              <c:numCache>
                <c:formatCode>0.00</c:formatCode>
                <c:ptCount val="10"/>
                <c:pt idx="0">
                  <c:v>0.3</c:v>
                </c:pt>
                <c:pt idx="1">
                  <c:v>1.7</c:v>
                </c:pt>
                <c:pt idx="2">
                  <c:v>1.18</c:v>
                </c:pt>
                <c:pt idx="3">
                  <c:v>1.6</c:v>
                </c:pt>
                <c:pt idx="4">
                  <c:v>1.1200000000000001</c:v>
                </c:pt>
                <c:pt idx="5">
                  <c:v>1.3</c:v>
                </c:pt>
                <c:pt idx="6">
                  <c:v>0.9</c:v>
                </c:pt>
                <c:pt idx="7">
                  <c:v>0.7</c:v>
                </c:pt>
                <c:pt idx="8">
                  <c:v>1.1000000000000001</c:v>
                </c:pt>
                <c:pt idx="9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3-43B8-852B-792ACA22DE11}"/>
            </c:ext>
          </c:extLst>
        </c:ser>
        <c:ser>
          <c:idx val="1"/>
          <c:order val="2"/>
          <c:tx>
            <c:strRef>
              <c:f>'RN620'!$K$31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'RN620'!$H$32:$I$41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'RN620'!$K$32:$K$41</c:f>
              <c:numCache>
                <c:formatCode>0.00</c:formatCode>
                <c:ptCount val="10"/>
                <c:pt idx="0">
                  <c:v>0.04</c:v>
                </c:pt>
                <c:pt idx="1">
                  <c:v>0.04</c:v>
                </c:pt>
                <c:pt idx="2">
                  <c:v>0.06</c:v>
                </c:pt>
                <c:pt idx="3">
                  <c:v>0.04</c:v>
                </c:pt>
                <c:pt idx="4">
                  <c:v>0.02</c:v>
                </c:pt>
                <c:pt idx="5">
                  <c:v>0.04</c:v>
                </c:pt>
                <c:pt idx="6">
                  <c:v>0.08</c:v>
                </c:pt>
                <c:pt idx="7">
                  <c:v>0.04</c:v>
                </c:pt>
                <c:pt idx="8">
                  <c:v>0.04</c:v>
                </c:pt>
                <c:pt idx="9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43-43B8-852B-792ACA22D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'RN620'!$L$31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'RN620'!$H$32:$I$41</c:f>
              <c:multiLvlStrCache>
                <c:ptCount val="10"/>
                <c:lvl>
                  <c:pt idx="0">
                    <c:v>ESTACION EL HIERBAL</c:v>
                  </c:pt>
                  <c:pt idx="1">
                    <c:v>ESTACION MONTENEVADO</c:v>
                  </c:pt>
                  <c:pt idx="2">
                    <c:v>ESTACION CHARCOMANSO</c:v>
                  </c:pt>
                  <c:pt idx="3">
                    <c:v>ESTACION BOCATOMA MUNICIPIO DE RIONEGRO</c:v>
                  </c:pt>
                  <c:pt idx="4">
                    <c:v>ESTACION PUENTE REAL</c:v>
                  </c:pt>
                  <c:pt idx="5">
                    <c:v>ESTACION PUENTE ANTES DE LA EBAR EPRIO</c:v>
                  </c:pt>
                  <c:pt idx="6">
                    <c:v>ESTACION DESPUES DE LA DESCARGA DE LA PTARD MUNICIPIO DE RIONEGRO</c:v>
                  </c:pt>
                  <c:pt idx="7">
                    <c:v>ESTACION PUENTE AUTOPISTA</c:v>
                  </c:pt>
                  <c:pt idx="8">
                    <c:v>ESTACION LA FRESERA</c:v>
                  </c:pt>
                  <c:pt idx="9">
                    <c:v>ESTACION RIO ABAJO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4</c:v>
                  </c:pt>
                  <c:pt idx="3">
                    <c:v>6</c:v>
                  </c:pt>
                  <c:pt idx="4">
                    <c:v>7</c:v>
                  </c:pt>
                  <c:pt idx="5">
                    <c:v>8</c:v>
                  </c:pt>
                  <c:pt idx="6">
                    <c:v>9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</c:lvl>
              </c:multiLvlStrCache>
            </c:multiLvlStrRef>
          </c:cat>
          <c:val>
            <c:numRef>
              <c:f>'RN620'!$L$32:$L$41</c:f>
              <c:numCache>
                <c:formatCode>0.00</c:formatCode>
                <c:ptCount val="10"/>
                <c:pt idx="0">
                  <c:v>0.16375000000000003</c:v>
                </c:pt>
                <c:pt idx="1">
                  <c:v>0.24249999999999999</c:v>
                </c:pt>
                <c:pt idx="2">
                  <c:v>0.20250000000000007</c:v>
                </c:pt>
                <c:pt idx="3">
                  <c:v>0.21625000000000008</c:v>
                </c:pt>
                <c:pt idx="4">
                  <c:v>0.21687500000000004</c:v>
                </c:pt>
                <c:pt idx="5">
                  <c:v>0.24000000000000007</c:v>
                </c:pt>
                <c:pt idx="6">
                  <c:v>0.33200000000000002</c:v>
                </c:pt>
                <c:pt idx="7">
                  <c:v>0.29750000000000004</c:v>
                </c:pt>
                <c:pt idx="8">
                  <c:v>0.3125</c:v>
                </c:pt>
                <c:pt idx="9">
                  <c:v>0.25733333333333336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43-43B8-852B-792ACA22D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'RN620'!$S$22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numRef>
              <c:f>'RN620'!$O$23:$O$28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'RN620'!$S$23:$S$28</c:f>
              <c:numCache>
                <c:formatCode>0.00</c:formatCode>
                <c:ptCount val="6"/>
                <c:pt idx="0">
                  <c:v>0.1</c:v>
                </c:pt>
                <c:pt idx="1">
                  <c:v>0.5</c:v>
                </c:pt>
                <c:pt idx="2">
                  <c:v>0.7</c:v>
                </c:pt>
                <c:pt idx="3">
                  <c:v>0.64</c:v>
                </c:pt>
                <c:pt idx="4">
                  <c:v>0.7</c:v>
                </c:pt>
                <c:pt idx="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C-4BCB-AC5C-14E806AFD24C}"/>
            </c:ext>
          </c:extLst>
        </c:ser>
        <c:ser>
          <c:idx val="1"/>
          <c:order val="2"/>
          <c:tx>
            <c:strRef>
              <c:f>'RN620'!$Q$22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'RN620'!$O$23:$O$28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'RN620'!$Q$23:$Q$28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  <c:pt idx="4">
                  <c:v>0.02</c:v>
                </c:pt>
                <c:pt idx="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9C-4BCB-AC5C-14E806AFD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'RN620'!$R$22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'RN620'!$R$23:$R$28</c:f>
              <c:numCache>
                <c:formatCode>0.00</c:formatCode>
                <c:ptCount val="6"/>
                <c:pt idx="0">
                  <c:v>9.9999999999999992E-2</c:v>
                </c:pt>
                <c:pt idx="1">
                  <c:v>0.19285714285714289</c:v>
                </c:pt>
                <c:pt idx="2">
                  <c:v>0.22466666666666671</c:v>
                </c:pt>
                <c:pt idx="3">
                  <c:v>0.20166666666666669</c:v>
                </c:pt>
                <c:pt idx="4">
                  <c:v>0.14933333333333332</c:v>
                </c:pt>
                <c:pt idx="5">
                  <c:v>0.51466666666666672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9C-4BCB-AC5C-14E806AFD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'CM436'!$M$31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cat>
            <c:multiLvlStrRef>
              <c:f>'CM436'!$H$32:$I$35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'CM436'!$M$32:$M$35</c:f>
              <c:numCache>
                <c:formatCode>0.00</c:formatCode>
                <c:ptCount val="4"/>
                <c:pt idx="0">
                  <c:v>0.98</c:v>
                </c:pt>
                <c:pt idx="1">
                  <c:v>3.88</c:v>
                </c:pt>
                <c:pt idx="2">
                  <c:v>2.3199999999999998</c:v>
                </c:pt>
                <c:pt idx="3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B-45BE-9E6E-B3A99CCDD372}"/>
            </c:ext>
          </c:extLst>
        </c:ser>
        <c:ser>
          <c:idx val="1"/>
          <c:order val="2"/>
          <c:tx>
            <c:strRef>
              <c:f>'CM436'!$K$31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'CM436'!$H$32:$I$35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'CM436'!$K$32:$K$35</c:f>
              <c:numCache>
                <c:formatCode>0.00</c:formatCode>
                <c:ptCount val="4"/>
                <c:pt idx="0">
                  <c:v>0.3</c:v>
                </c:pt>
                <c:pt idx="1">
                  <c:v>0.4</c:v>
                </c:pt>
                <c:pt idx="2">
                  <c:v>0.42</c:v>
                </c:pt>
                <c:pt idx="3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B-45BE-9E6E-B3A99CCD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'CM436'!$L$31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'CM436'!$H$32:$I$35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'CM436'!$L$32:$L$35</c:f>
              <c:numCache>
                <c:formatCode>0.00</c:formatCode>
                <c:ptCount val="4"/>
                <c:pt idx="0">
                  <c:v>0.495</c:v>
                </c:pt>
                <c:pt idx="1">
                  <c:v>1.2762500000000003</c:v>
                </c:pt>
                <c:pt idx="2">
                  <c:v>0.85249999999999992</c:v>
                </c:pt>
                <c:pt idx="3">
                  <c:v>1.865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5B-45BE-9E6E-B3A99CCDD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'CM436'!$S$22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25400">
              <a:noFill/>
            </a:ln>
            <a:effectLst/>
          </c:spPr>
          <c:cat>
            <c:numRef>
              <c:f>'CM436'!$O$23:$O$28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'CM436'!$S$23:$S$28</c:f>
              <c:numCache>
                <c:formatCode>0.00</c:formatCode>
                <c:ptCount val="6"/>
                <c:pt idx="0">
                  <c:v>1.8</c:v>
                </c:pt>
                <c:pt idx="1">
                  <c:v>4.3</c:v>
                </c:pt>
                <c:pt idx="2">
                  <c:v>3.83</c:v>
                </c:pt>
                <c:pt idx="3">
                  <c:v>2.08</c:v>
                </c:pt>
                <c:pt idx="4">
                  <c:v>3.04</c:v>
                </c:pt>
                <c:pt idx="5">
                  <c:v>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E7-450A-9D69-800EAC0D454F}"/>
            </c:ext>
          </c:extLst>
        </c:ser>
        <c:ser>
          <c:idx val="1"/>
          <c:order val="2"/>
          <c:tx>
            <c:strRef>
              <c:f>'CM436'!$Q$22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'CM436'!$O$23:$O$28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'CM436'!$Q$23:$Q$28</c:f>
              <c:numCache>
                <c:formatCode>0.00</c:formatCode>
                <c:ptCount val="6"/>
                <c:pt idx="0">
                  <c:v>0.3</c:v>
                </c:pt>
                <c:pt idx="1">
                  <c:v>0.3</c:v>
                </c:pt>
                <c:pt idx="2">
                  <c:v>0.5</c:v>
                </c:pt>
                <c:pt idx="3">
                  <c:v>0.38</c:v>
                </c:pt>
                <c:pt idx="4">
                  <c:v>0.34</c:v>
                </c:pt>
                <c:pt idx="5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E7-450A-9D69-800EAC0D4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'CM436'!$R$22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'CM436'!$O$23:$O$28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'CM436'!$R$23:$R$28</c:f>
              <c:numCache>
                <c:formatCode>0.00</c:formatCode>
                <c:ptCount val="6"/>
                <c:pt idx="0">
                  <c:v>0.875</c:v>
                </c:pt>
                <c:pt idx="1">
                  <c:v>1.0833333333333333</c:v>
                </c:pt>
                <c:pt idx="2">
                  <c:v>1.2208333333333332</c:v>
                </c:pt>
                <c:pt idx="3">
                  <c:v>0.99416666666666664</c:v>
                </c:pt>
                <c:pt idx="4">
                  <c:v>1.2266666666666668</c:v>
                </c:pt>
                <c:pt idx="5">
                  <c:v>1.1683333333333332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E7-450A-9D69-800EAC0D4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'CM525'!$M$31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>
              <a:noFill/>
            </a:ln>
            <a:effectLst/>
          </c:spPr>
          <c:cat>
            <c:multiLvlStrRef>
              <c:f>'CM525'!$H$32:$I$35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'CM525'!$M$32:$M$35</c:f>
              <c:numCache>
                <c:formatCode>0.00</c:formatCode>
                <c:ptCount val="4"/>
                <c:pt idx="0">
                  <c:v>0.46</c:v>
                </c:pt>
                <c:pt idx="1">
                  <c:v>2.46</c:v>
                </c:pt>
                <c:pt idx="2">
                  <c:v>1.84</c:v>
                </c:pt>
                <c:pt idx="3">
                  <c:v>3.37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5-4A03-9C7F-0EB5D2AECF6D}"/>
            </c:ext>
          </c:extLst>
        </c:ser>
        <c:ser>
          <c:idx val="1"/>
          <c:order val="2"/>
          <c:tx>
            <c:strRef>
              <c:f>'CM525'!$K$31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'CM525'!$H$32:$I$35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'CM525'!$K$32:$K$35</c:f>
              <c:numCache>
                <c:formatCode>0.00</c:formatCode>
                <c:ptCount val="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65-4A03-9C7F-0EB5D2AEC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'CM525'!$L$31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multiLvlStrRef>
              <c:f>'CM525'!$H$32:$I$35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'CM525'!$L$32:$L$35</c:f>
              <c:numCache>
                <c:formatCode>0.00</c:formatCode>
                <c:ptCount val="4"/>
                <c:pt idx="0">
                  <c:v>0.21750000000000008</c:v>
                </c:pt>
                <c:pt idx="1">
                  <c:v>0.69374999999999998</c:v>
                </c:pt>
                <c:pt idx="2">
                  <c:v>0.39875000000000005</c:v>
                </c:pt>
                <c:pt idx="3">
                  <c:v>1.3199999999999996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65-4A03-9C7F-0EB5D2AEC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'CM525'!$S$22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 w="25400">
              <a:noFill/>
            </a:ln>
            <a:effectLst/>
          </c:spPr>
          <c:cat>
            <c:numRef>
              <c:f>'CM525'!$O$23:$O$28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'CM525'!$S$23:$S$28</c:f>
              <c:numCache>
                <c:formatCode>0.00</c:formatCode>
                <c:ptCount val="6"/>
                <c:pt idx="0">
                  <c:v>1.2</c:v>
                </c:pt>
                <c:pt idx="1">
                  <c:v>3.3</c:v>
                </c:pt>
                <c:pt idx="2">
                  <c:v>3.37</c:v>
                </c:pt>
                <c:pt idx="3">
                  <c:v>1.21</c:v>
                </c:pt>
                <c:pt idx="4">
                  <c:v>2.2000000000000002</c:v>
                </c:pt>
                <c:pt idx="5">
                  <c:v>2.46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C6-45C2-8C18-C35EFA8C7528}"/>
            </c:ext>
          </c:extLst>
        </c:ser>
        <c:ser>
          <c:idx val="1"/>
          <c:order val="2"/>
          <c:tx>
            <c:strRef>
              <c:f>'CM525'!$Q$22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'CM525'!$O$23:$O$28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'CM525'!$Q$23:$Q$28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C6-45C2-8C18-C35EFA8C7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'CM525'!$R$22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numRef>
              <c:f>'CM525'!$O$23:$O$28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'CM525'!$R$23:$R$28</c:f>
              <c:numCache>
                <c:formatCode>0.00</c:formatCode>
                <c:ptCount val="6"/>
                <c:pt idx="0">
                  <c:v>0.44999999999999996</c:v>
                </c:pt>
                <c:pt idx="1">
                  <c:v>0.625</c:v>
                </c:pt>
                <c:pt idx="2">
                  <c:v>0.79500000000000004</c:v>
                </c:pt>
                <c:pt idx="3">
                  <c:v>0.53</c:v>
                </c:pt>
                <c:pt idx="4">
                  <c:v>0.755</c:v>
                </c:pt>
                <c:pt idx="5">
                  <c:v>0.65166666666666673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C6-45C2-8C18-C35EFA8C7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'CM620'!$M$31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f>'CM620'!$H$32:$I$35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'CM620'!$M$32:$M$35</c:f>
              <c:numCache>
                <c:formatCode>0.00</c:formatCode>
                <c:ptCount val="4"/>
                <c:pt idx="0">
                  <c:v>0.32</c:v>
                </c:pt>
                <c:pt idx="1">
                  <c:v>1.7</c:v>
                </c:pt>
                <c:pt idx="2">
                  <c:v>1.7</c:v>
                </c:pt>
                <c:pt idx="3">
                  <c:v>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6-4AA4-8D08-B8EBB1369E37}"/>
            </c:ext>
          </c:extLst>
        </c:ser>
        <c:ser>
          <c:idx val="1"/>
          <c:order val="2"/>
          <c:tx>
            <c:strRef>
              <c:f>'CM620'!$K$31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'CM620'!$H$32:$I$35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'CM620'!$K$32:$K$35</c:f>
              <c:numCache>
                <c:formatCode>0.00</c:formatCode>
                <c:ptCount val="4"/>
                <c:pt idx="0">
                  <c:v>0.06</c:v>
                </c:pt>
                <c:pt idx="1">
                  <c:v>0.08</c:v>
                </c:pt>
                <c:pt idx="2">
                  <c:v>0.06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6-4AA4-8D08-B8EBB1369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'CM620'!$L$31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'CM620'!$H$32:$I$35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'CM620'!$L$32:$L$35</c:f>
              <c:numCache>
                <c:formatCode>0.00</c:formatCode>
                <c:ptCount val="4"/>
                <c:pt idx="0">
                  <c:v>0.12250000000000003</c:v>
                </c:pt>
                <c:pt idx="1">
                  <c:v>0.45999999999999996</c:v>
                </c:pt>
                <c:pt idx="2">
                  <c:v>0.26500000000000001</c:v>
                </c:pt>
                <c:pt idx="3">
                  <c:v>0.70124999999999993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C6-4AA4-8D08-B8EBB1369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'CM620'!$S$22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numRef>
              <c:f>'CM620'!$O$23:$O$28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'CM620'!$S$23:$S$28</c:f>
              <c:numCache>
                <c:formatCode>0.00</c:formatCode>
                <c:ptCount val="6"/>
                <c:pt idx="0">
                  <c:v>0.5</c:v>
                </c:pt>
                <c:pt idx="1">
                  <c:v>1.4</c:v>
                </c:pt>
                <c:pt idx="2">
                  <c:v>1.57</c:v>
                </c:pt>
                <c:pt idx="3">
                  <c:v>0.84</c:v>
                </c:pt>
                <c:pt idx="4">
                  <c:v>1.76</c:v>
                </c:pt>
                <c:pt idx="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F3-4C46-9A0E-C68108883478}"/>
            </c:ext>
          </c:extLst>
        </c:ser>
        <c:ser>
          <c:idx val="1"/>
          <c:order val="2"/>
          <c:tx>
            <c:strRef>
              <c:f>'CM620'!$Q$22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'CM620'!$O$23:$O$28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'CM620'!$Q$23:$Q$28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0.06</c:v>
                </c:pt>
                <c:pt idx="4">
                  <c:v>0.08</c:v>
                </c:pt>
                <c:pt idx="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F3-4C46-9A0E-C6810888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'CM620'!$R$22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'CM620'!$O$23:$O$28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'CM620'!$R$23:$R$28</c:f>
              <c:numCache>
                <c:formatCode>0.00</c:formatCode>
                <c:ptCount val="6"/>
                <c:pt idx="0">
                  <c:v>0.2</c:v>
                </c:pt>
                <c:pt idx="1">
                  <c:v>0.32500000000000001</c:v>
                </c:pt>
                <c:pt idx="2">
                  <c:v>0.43083333333333335</c:v>
                </c:pt>
                <c:pt idx="3">
                  <c:v>0.29416666666666663</c:v>
                </c:pt>
                <c:pt idx="4">
                  <c:v>0.48500000000000004</c:v>
                </c:pt>
                <c:pt idx="5">
                  <c:v>0.46333333333333337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F3-4C46-9A0E-C6810888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'MN436'!$M$31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cat>
            <c:multiLvlStrRef>
              <c:f>'MN436'!$H$32:$I$35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'MN436'!$M$32:$M$35</c:f>
              <c:numCache>
                <c:formatCode>0.00</c:formatCode>
                <c:ptCount val="4"/>
                <c:pt idx="0">
                  <c:v>1.1000000000000001</c:v>
                </c:pt>
                <c:pt idx="1">
                  <c:v>2</c:v>
                </c:pt>
                <c:pt idx="2">
                  <c:v>1.88</c:v>
                </c:pt>
                <c:pt idx="3">
                  <c:v>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9-4AB0-8D51-47F099BC317E}"/>
            </c:ext>
          </c:extLst>
        </c:ser>
        <c:ser>
          <c:idx val="1"/>
          <c:order val="2"/>
          <c:tx>
            <c:strRef>
              <c:f>'MN436'!$K$31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'MN436'!$H$32:$I$35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'MN436'!$K$32:$K$35</c:f>
              <c:numCache>
                <c:formatCode>0.00</c:formatCode>
                <c:ptCount val="4"/>
                <c:pt idx="0">
                  <c:v>0.34</c:v>
                </c:pt>
                <c:pt idx="1">
                  <c:v>0.4</c:v>
                </c:pt>
                <c:pt idx="2">
                  <c:v>0.26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9-4AB0-8D51-47F099BC3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'MN436'!$L$31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'MN436'!$H$32:$I$35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'MN436'!$L$32:$L$35</c:f>
              <c:numCache>
                <c:formatCode>0.00</c:formatCode>
                <c:ptCount val="4"/>
                <c:pt idx="0">
                  <c:v>0.58875</c:v>
                </c:pt>
                <c:pt idx="1">
                  <c:v>0.85499999999999998</c:v>
                </c:pt>
                <c:pt idx="2">
                  <c:v>0.79125000000000001</c:v>
                </c:pt>
                <c:pt idx="3">
                  <c:v>1.13625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49-4AB0-8D51-47F099BC3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'MN436'!$S$22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25400">
              <a:noFill/>
            </a:ln>
            <a:effectLst/>
          </c:spPr>
          <c:cat>
            <c:numRef>
              <c:f>'MN436'!$O$23:$O$28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'MN436'!$S$23:$S$28</c:f>
              <c:numCache>
                <c:formatCode>0.00</c:formatCode>
                <c:ptCount val="6"/>
                <c:pt idx="0">
                  <c:v>2</c:v>
                </c:pt>
                <c:pt idx="1">
                  <c:v>0.9</c:v>
                </c:pt>
                <c:pt idx="2">
                  <c:v>1.56</c:v>
                </c:pt>
                <c:pt idx="3">
                  <c:v>3.32</c:v>
                </c:pt>
                <c:pt idx="4">
                  <c:v>0.86</c:v>
                </c:pt>
                <c:pt idx="5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B-4B9A-9F6F-FBE827F2B253}"/>
            </c:ext>
          </c:extLst>
        </c:ser>
        <c:ser>
          <c:idx val="1"/>
          <c:order val="2"/>
          <c:tx>
            <c:strRef>
              <c:f>'MN436'!$Q$22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'MN436'!$Q$23:$Q$28</c:f>
              <c:numCache>
                <c:formatCode>0.00</c:formatCode>
                <c:ptCount val="6"/>
                <c:pt idx="0">
                  <c:v>0.6</c:v>
                </c:pt>
                <c:pt idx="1">
                  <c:v>0.4</c:v>
                </c:pt>
                <c:pt idx="2">
                  <c:v>0.48</c:v>
                </c:pt>
                <c:pt idx="3">
                  <c:v>0.26</c:v>
                </c:pt>
                <c:pt idx="4">
                  <c:v>0.24</c:v>
                </c:pt>
                <c:pt idx="5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DB-4B9A-9F6F-FBE827F2B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'MN436'!$R$22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'MN436'!$O$23:$O$28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'MN436'!$R$23:$R$28</c:f>
              <c:numCache>
                <c:formatCode>0.00</c:formatCode>
                <c:ptCount val="6"/>
                <c:pt idx="0">
                  <c:v>1.3</c:v>
                </c:pt>
                <c:pt idx="1">
                  <c:v>0.68333333333333346</c:v>
                </c:pt>
                <c:pt idx="2">
                  <c:v>0.90833333333333333</c:v>
                </c:pt>
                <c:pt idx="3">
                  <c:v>0.75666666666666671</c:v>
                </c:pt>
                <c:pt idx="4">
                  <c:v>0.53666666666666674</c:v>
                </c:pt>
                <c:pt idx="5">
                  <c:v>1.1766666666666665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DB-4B9A-9F6F-FBE827F2B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'MN525'!$M$31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>
              <a:noFill/>
            </a:ln>
            <a:effectLst/>
          </c:spPr>
          <c:cat>
            <c:multiLvlStrRef>
              <c:f>'MN525'!$H$32:$I$35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'MN525'!$M$32:$M$35</c:f>
              <c:numCache>
                <c:formatCode>0.00</c:formatCode>
                <c:ptCount val="4"/>
                <c:pt idx="0">
                  <c:v>0.5</c:v>
                </c:pt>
                <c:pt idx="1">
                  <c:v>1.3</c:v>
                </c:pt>
                <c:pt idx="2">
                  <c:v>1.06</c:v>
                </c:pt>
                <c:pt idx="3">
                  <c:v>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D4-4E1E-99EA-9F276EF3EF78}"/>
            </c:ext>
          </c:extLst>
        </c:ser>
        <c:ser>
          <c:idx val="1"/>
          <c:order val="2"/>
          <c:tx>
            <c:strRef>
              <c:f>'MN525'!$K$31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'MN525'!$H$32:$I$35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'MN525'!$K$32:$K$35</c:f>
              <c:numCache>
                <c:formatCode>0.00</c:formatCode>
                <c:ptCount val="4"/>
                <c:pt idx="0">
                  <c:v>0.1</c:v>
                </c:pt>
                <c:pt idx="1">
                  <c:v>0.1</c:v>
                </c:pt>
                <c:pt idx="2">
                  <c:v>0.12</c:v>
                </c:pt>
                <c:pt idx="3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D4-4E1E-99EA-9F276EF3E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'MN525'!$L$31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multiLvlStrRef>
              <c:f>'MN525'!$H$32:$I$35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'MN525'!$L$32:$L$35</c:f>
              <c:numCache>
                <c:formatCode>0.00</c:formatCode>
                <c:ptCount val="4"/>
                <c:pt idx="0">
                  <c:v>0.24125000000000008</c:v>
                </c:pt>
                <c:pt idx="1">
                  <c:v>0.38624999999999993</c:v>
                </c:pt>
                <c:pt idx="2">
                  <c:v>0.34500000000000008</c:v>
                </c:pt>
                <c:pt idx="3">
                  <c:v>0.57937499999999997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D4-4E1E-99EA-9F276EF3E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'MN525'!$S$22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 w="25400">
              <a:noFill/>
            </a:ln>
            <a:effectLst/>
          </c:spPr>
          <c:cat>
            <c:numRef>
              <c:f>'MN525'!$O$23:$O$28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'MN525'!$S$23:$S$28</c:f>
              <c:numCache>
                <c:formatCode>0.00</c:formatCode>
                <c:ptCount val="6"/>
                <c:pt idx="0">
                  <c:v>0.9</c:v>
                </c:pt>
                <c:pt idx="1">
                  <c:v>0.4</c:v>
                </c:pt>
                <c:pt idx="2">
                  <c:v>0.9</c:v>
                </c:pt>
                <c:pt idx="3">
                  <c:v>1.82</c:v>
                </c:pt>
                <c:pt idx="4">
                  <c:v>0.28000000000000003</c:v>
                </c:pt>
                <c:pt idx="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D1-411D-8514-02F0F0D62D35}"/>
            </c:ext>
          </c:extLst>
        </c:ser>
        <c:ser>
          <c:idx val="1"/>
          <c:order val="2"/>
          <c:tx>
            <c:strRef>
              <c:f>'MN525'!$Q$22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'MN525'!$Q$23:$Q$28</c:f>
              <c:numCache>
                <c:formatCode>0.00</c:formatCode>
                <c:ptCount val="6"/>
                <c:pt idx="0">
                  <c:v>0.2</c:v>
                </c:pt>
                <c:pt idx="1">
                  <c:v>0.1</c:v>
                </c:pt>
                <c:pt idx="2">
                  <c:v>0.18</c:v>
                </c:pt>
                <c:pt idx="3">
                  <c:v>0.1</c:v>
                </c:pt>
                <c:pt idx="4">
                  <c:v>0.12</c:v>
                </c:pt>
                <c:pt idx="5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D1-411D-8514-02F0F0D62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'MN525'!$R$22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numRef>
              <c:f>'MN525'!$O$23:$O$28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'MN525'!$R$23:$R$28</c:f>
              <c:numCache>
                <c:formatCode>0.00</c:formatCode>
                <c:ptCount val="6"/>
                <c:pt idx="0">
                  <c:v>0.55000000000000004</c:v>
                </c:pt>
                <c:pt idx="1">
                  <c:v>0.25</c:v>
                </c:pt>
                <c:pt idx="2">
                  <c:v>0.44083333333333335</c:v>
                </c:pt>
                <c:pt idx="3">
                  <c:v>0.34333333333333332</c:v>
                </c:pt>
                <c:pt idx="4">
                  <c:v>0.19333333333333336</c:v>
                </c:pt>
                <c:pt idx="5">
                  <c:v>0.65833333333333333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D1-411D-8514-02F0F0D62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'MN620'!$M$31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f>'MN620'!$H$32:$I$35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'MN620'!$M$32:$M$35</c:f>
              <c:numCache>
                <c:formatCode>0.00</c:formatCode>
                <c:ptCount val="4"/>
                <c:pt idx="0">
                  <c:v>0.32</c:v>
                </c:pt>
                <c:pt idx="1">
                  <c:v>1.7</c:v>
                </c:pt>
                <c:pt idx="2">
                  <c:v>1.7</c:v>
                </c:pt>
                <c:pt idx="3">
                  <c:v>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C-415F-A330-DDC4A657CFC9}"/>
            </c:ext>
          </c:extLst>
        </c:ser>
        <c:ser>
          <c:idx val="1"/>
          <c:order val="2"/>
          <c:tx>
            <c:strRef>
              <c:f>'MN620'!$K$31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'MN620'!$H$32:$I$35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'MN620'!$K$32:$K$35</c:f>
              <c:numCache>
                <c:formatCode>0.00</c:formatCode>
                <c:ptCount val="4"/>
                <c:pt idx="0">
                  <c:v>0.06</c:v>
                </c:pt>
                <c:pt idx="1">
                  <c:v>0.08</c:v>
                </c:pt>
                <c:pt idx="2">
                  <c:v>0.06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0C-415F-A330-DDC4A657C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'MN620'!$L$31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'MN620'!$H$32:$I$35</c:f>
              <c:multiLvlStrCache>
                <c:ptCount val="4"/>
                <c:lvl>
                  <c:pt idx="0">
                    <c:v>ESTACION PUENTE LARGA</c:v>
                  </c:pt>
                  <c:pt idx="1">
                    <c:v>ESTACION FLOR SILVESTRE</c:v>
                  </c:pt>
                  <c:pt idx="2">
                    <c:v>ESTACION COLTEPUNTO</c:v>
                  </c:pt>
                  <c:pt idx="3">
                    <c:v>ESTACION PUENTE VIA EL TRANVIA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'MN620'!$L$32:$L$35</c:f>
              <c:numCache>
                <c:formatCode>0.00</c:formatCode>
                <c:ptCount val="4"/>
                <c:pt idx="0">
                  <c:v>0.12250000000000003</c:v>
                </c:pt>
                <c:pt idx="1">
                  <c:v>0.45999999999999996</c:v>
                </c:pt>
                <c:pt idx="2">
                  <c:v>0.26500000000000001</c:v>
                </c:pt>
                <c:pt idx="3">
                  <c:v>0.70124999999999993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0C-415F-A330-DDC4A657C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'MN620'!$S$22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numRef>
              <c:f>'MN620'!$O$23:$O$28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'MN620'!$S$23:$S$28</c:f>
              <c:numCache>
                <c:formatCode>0.00</c:formatCode>
                <c:ptCount val="6"/>
                <c:pt idx="0">
                  <c:v>0.5</c:v>
                </c:pt>
                <c:pt idx="1">
                  <c:v>1.4</c:v>
                </c:pt>
                <c:pt idx="2">
                  <c:v>1.57</c:v>
                </c:pt>
                <c:pt idx="3">
                  <c:v>0.84</c:v>
                </c:pt>
                <c:pt idx="4">
                  <c:v>1.76</c:v>
                </c:pt>
                <c:pt idx="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5-4371-B338-B3FFA354F4D4}"/>
            </c:ext>
          </c:extLst>
        </c:ser>
        <c:ser>
          <c:idx val="1"/>
          <c:order val="2"/>
          <c:tx>
            <c:strRef>
              <c:f>'MN620'!$Q$22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'MN620'!$Q$23:$Q$28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0.06</c:v>
                </c:pt>
                <c:pt idx="4">
                  <c:v>0.08</c:v>
                </c:pt>
                <c:pt idx="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B5-4371-B338-B3FFA354F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'MN620'!$R$22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'MN620'!$O$23:$O$28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'MN620'!$R$23:$R$28</c:f>
              <c:numCache>
                <c:formatCode>0.00</c:formatCode>
                <c:ptCount val="6"/>
                <c:pt idx="0">
                  <c:v>0.2</c:v>
                </c:pt>
                <c:pt idx="1">
                  <c:v>0.32500000000000001</c:v>
                </c:pt>
                <c:pt idx="2">
                  <c:v>0.43083333333333335</c:v>
                </c:pt>
                <c:pt idx="3">
                  <c:v>0.29416666666666663</c:v>
                </c:pt>
                <c:pt idx="4">
                  <c:v>0.48500000000000004</c:v>
                </c:pt>
                <c:pt idx="5">
                  <c:v>0.46333333333333337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B5-4371-B338-B3FFA354F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'MO436'!$M$31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cat>
            <c:multiLvlStrRef>
              <c:f>'MO436'!$H$32:$I$36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'MO436'!$M$32:$M$36</c:f>
              <c:numCache>
                <c:formatCode>0.00</c:formatCode>
                <c:ptCount val="5"/>
                <c:pt idx="0">
                  <c:v>0.8</c:v>
                </c:pt>
                <c:pt idx="1">
                  <c:v>0.78</c:v>
                </c:pt>
                <c:pt idx="2">
                  <c:v>2.52</c:v>
                </c:pt>
                <c:pt idx="3">
                  <c:v>1.02</c:v>
                </c:pt>
                <c:pt idx="4">
                  <c:v>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9-4D76-8676-CCAF6309871B}"/>
            </c:ext>
          </c:extLst>
        </c:ser>
        <c:ser>
          <c:idx val="1"/>
          <c:order val="2"/>
          <c:tx>
            <c:strRef>
              <c:f>'MO436'!$K$31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'MO436'!$H$32:$I$36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'MO436'!$K$32:$K$36</c:f>
              <c:numCache>
                <c:formatCode>0.00</c:formatCode>
                <c:ptCount val="5"/>
                <c:pt idx="0">
                  <c:v>0.24</c:v>
                </c:pt>
                <c:pt idx="1">
                  <c:v>0.24</c:v>
                </c:pt>
                <c:pt idx="2">
                  <c:v>0.2</c:v>
                </c:pt>
                <c:pt idx="3">
                  <c:v>0.16</c:v>
                </c:pt>
                <c:pt idx="4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D9-4D76-8676-CCAF63098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'MO436'!$L$31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'MO436'!$H$32:$I$36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'MO436'!$L$32:$L$36</c:f>
              <c:numCache>
                <c:formatCode>0.00</c:formatCode>
                <c:ptCount val="5"/>
                <c:pt idx="0">
                  <c:v>0.43875000000000003</c:v>
                </c:pt>
                <c:pt idx="1">
                  <c:v>0.47375000000000012</c:v>
                </c:pt>
                <c:pt idx="2">
                  <c:v>0.84250000000000003</c:v>
                </c:pt>
                <c:pt idx="3">
                  <c:v>0.61499999999999999</c:v>
                </c:pt>
                <c:pt idx="4">
                  <c:v>1.1012500000000001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D9-4D76-8676-CCAF630987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'MO436'!$S$22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25400">
              <a:noFill/>
            </a:ln>
            <a:effectLst/>
          </c:spPr>
          <c:cat>
            <c:numRef>
              <c:f>'MO436'!$O$23:$O$28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'MO436'!$S$23:$S$28</c:f>
              <c:numCache>
                <c:formatCode>0.00</c:formatCode>
                <c:ptCount val="6"/>
                <c:pt idx="0">
                  <c:v>1.4</c:v>
                </c:pt>
                <c:pt idx="1">
                  <c:v>1.5</c:v>
                </c:pt>
                <c:pt idx="2">
                  <c:v>1.3</c:v>
                </c:pt>
                <c:pt idx="3">
                  <c:v>1.56</c:v>
                </c:pt>
                <c:pt idx="4">
                  <c:v>0.68</c:v>
                </c:pt>
                <c:pt idx="5">
                  <c:v>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B4-40F0-BC19-390DB597E5E0}"/>
            </c:ext>
          </c:extLst>
        </c:ser>
        <c:ser>
          <c:idx val="1"/>
          <c:order val="2"/>
          <c:tx>
            <c:strRef>
              <c:f>'MO436'!$Q$22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'MO436'!$O$23:$O$28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'MO436'!$Q$23:$Q$28</c:f>
              <c:numCache>
                <c:formatCode>0.00</c:formatCode>
                <c:ptCount val="6"/>
                <c:pt idx="0">
                  <c:v>0.3</c:v>
                </c:pt>
                <c:pt idx="1">
                  <c:v>0.5</c:v>
                </c:pt>
                <c:pt idx="2">
                  <c:v>0.32</c:v>
                </c:pt>
                <c:pt idx="3">
                  <c:v>0.32</c:v>
                </c:pt>
                <c:pt idx="4">
                  <c:v>0.16</c:v>
                </c:pt>
                <c:pt idx="5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B4-40F0-BC19-390DB597E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'MO436'!$R$22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'MO436'!$O$23:$O$28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'MO436'!$R$23:$R$28</c:f>
              <c:numCache>
                <c:formatCode>0.00</c:formatCode>
                <c:ptCount val="6"/>
                <c:pt idx="0">
                  <c:v>0.6399999999999999</c:v>
                </c:pt>
                <c:pt idx="1">
                  <c:v>0.78666666666666674</c:v>
                </c:pt>
                <c:pt idx="2">
                  <c:v>0.68800000000000006</c:v>
                </c:pt>
                <c:pt idx="3">
                  <c:v>0.57733333333333337</c:v>
                </c:pt>
                <c:pt idx="4">
                  <c:v>0.37333333333333335</c:v>
                </c:pt>
                <c:pt idx="5">
                  <c:v>1.0640000000000001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B4-40F0-BC19-390DB597E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'MO525'!$M$31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>
              <a:noFill/>
            </a:ln>
            <a:effectLst/>
          </c:spPr>
          <c:cat>
            <c:multiLvlStrRef>
              <c:f>'MO525'!$H$32:$I$36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'MO525'!$M$32:$M$36</c:f>
              <c:numCache>
                <c:formatCode>0.00</c:formatCode>
                <c:ptCount val="5"/>
                <c:pt idx="0">
                  <c:v>0.4</c:v>
                </c:pt>
                <c:pt idx="1">
                  <c:v>0.46</c:v>
                </c:pt>
                <c:pt idx="2">
                  <c:v>1.5</c:v>
                </c:pt>
                <c:pt idx="3">
                  <c:v>0.52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61-42A9-8F60-A29181C6D5EA}"/>
            </c:ext>
          </c:extLst>
        </c:ser>
        <c:ser>
          <c:idx val="1"/>
          <c:order val="2"/>
          <c:tx>
            <c:strRef>
              <c:f>'MO525'!$K$31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'MO525'!$H$32:$I$36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'MO525'!$K$32:$K$36</c:f>
              <c:numCache>
                <c:formatCode>0.00</c:formatCode>
                <c:ptCount val="5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0.04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61-42A9-8F60-A29181C6D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'MO525'!$L$31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multiLvlStrRef>
              <c:f>'MO525'!$H$32:$I$36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'MO525'!$L$32:$L$36</c:f>
              <c:numCache>
                <c:formatCode>0.00</c:formatCode>
                <c:ptCount val="5"/>
                <c:pt idx="0">
                  <c:v>0.17750000000000005</c:v>
                </c:pt>
                <c:pt idx="1">
                  <c:v>0.20500000000000002</c:v>
                </c:pt>
                <c:pt idx="2">
                  <c:v>0.46187500000000004</c:v>
                </c:pt>
                <c:pt idx="3">
                  <c:v>0.26000000000000006</c:v>
                </c:pt>
                <c:pt idx="4">
                  <c:v>0.61375000000000002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61-42A9-8F60-A29181C6D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'MO525'!$S$22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EBE600"/>
            </a:solidFill>
            <a:ln w="25400">
              <a:noFill/>
            </a:ln>
            <a:effectLst/>
          </c:spPr>
          <c:cat>
            <c:numRef>
              <c:f>'MO525'!$O$23:$O$28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'MO525'!$S$23:$S$28</c:f>
              <c:numCache>
                <c:formatCode>0.00</c:formatCode>
                <c:ptCount val="6"/>
                <c:pt idx="0">
                  <c:v>0.7</c:v>
                </c:pt>
                <c:pt idx="1">
                  <c:v>1.2</c:v>
                </c:pt>
                <c:pt idx="2">
                  <c:v>0.6</c:v>
                </c:pt>
                <c:pt idx="3">
                  <c:v>0.76</c:v>
                </c:pt>
                <c:pt idx="4">
                  <c:v>0.38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5-4905-86A3-98F9B11122EC}"/>
            </c:ext>
          </c:extLst>
        </c:ser>
        <c:ser>
          <c:idx val="1"/>
          <c:order val="2"/>
          <c:tx>
            <c:strRef>
              <c:f>'MO525'!$Q$22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'MO525'!$O$23:$O$28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'MO525'!$Q$23:$Q$28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0.04</c:v>
                </c:pt>
                <c:pt idx="5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65-4905-86A3-98F9B1112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'MO525'!$R$22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rgbClr val="808000"/>
              </a:solidFill>
              <a:round/>
            </a:ln>
            <a:effectLst/>
          </c:spPr>
          <c:marker>
            <c:symbol val="none"/>
          </c:marker>
          <c:cat>
            <c:numRef>
              <c:f>'MO525'!$O$23:$O$28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'MO525'!$R$23:$R$28</c:f>
              <c:numCache>
                <c:formatCode>0.00</c:formatCode>
                <c:ptCount val="6"/>
                <c:pt idx="0">
                  <c:v>0.27999999999999997</c:v>
                </c:pt>
                <c:pt idx="1">
                  <c:v>0.37333333333333341</c:v>
                </c:pt>
                <c:pt idx="2">
                  <c:v>0.34266666666666662</c:v>
                </c:pt>
                <c:pt idx="3">
                  <c:v>0.26</c:v>
                </c:pt>
                <c:pt idx="4">
                  <c:v>0.15200000000000002</c:v>
                </c:pt>
                <c:pt idx="5">
                  <c:v>0.6113333333333334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65-4905-86A3-98F9B1112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206163048933369E-2"/>
          <c:y val="6.3435850496185733E-2"/>
          <c:w val="0.90382823437141246"/>
          <c:h val="0.75528996302489104"/>
        </c:manualLayout>
      </c:layout>
      <c:areaChart>
        <c:grouping val="standard"/>
        <c:varyColors val="0"/>
        <c:ser>
          <c:idx val="0"/>
          <c:order val="0"/>
          <c:tx>
            <c:strRef>
              <c:f>'MO620'!$M$31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multiLvlStrRef>
              <c:f>'MO620'!$H$32:$I$36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'MO620'!$M$32:$M$36</c:f>
              <c:numCache>
                <c:formatCode>0.00</c:formatCode>
                <c:ptCount val="5"/>
                <c:pt idx="0">
                  <c:v>0.22</c:v>
                </c:pt>
                <c:pt idx="1">
                  <c:v>0.22</c:v>
                </c:pt>
                <c:pt idx="2">
                  <c:v>1.1000000000000001</c:v>
                </c:pt>
                <c:pt idx="3">
                  <c:v>0.32</c:v>
                </c:pt>
                <c:pt idx="4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2BE-9A07-418DFC8CD4E6}"/>
            </c:ext>
          </c:extLst>
        </c:ser>
        <c:ser>
          <c:idx val="1"/>
          <c:order val="2"/>
          <c:tx>
            <c:strRef>
              <c:f>'MO620'!$K$31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'MO620'!$H$32:$I$36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'MO620'!$K$32:$K$36</c:f>
              <c:numCache>
                <c:formatCode>0.00</c:formatCode>
                <c:ptCount val="5"/>
                <c:pt idx="0">
                  <c:v>0.02</c:v>
                </c:pt>
                <c:pt idx="1">
                  <c:v>0.02</c:v>
                </c:pt>
                <c:pt idx="2">
                  <c:v>0.06</c:v>
                </c:pt>
                <c:pt idx="3">
                  <c:v>0.02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2BE-9A07-418DFC8CD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'MO620'!$L$31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'MO620'!$H$32:$I$36</c:f>
              <c:multiLvlStrCache>
                <c:ptCount val="5"/>
                <c:lvl>
                  <c:pt idx="0">
                    <c:v>ROMERAL</c:v>
                  </c:pt>
                  <c:pt idx="1">
                    <c:v>ESTACION PUENTE MOLINO</c:v>
                  </c:pt>
                  <c:pt idx="2">
                    <c:v>ESTACION BOX COULVERT KM 24</c:v>
                  </c:pt>
                  <c:pt idx="3">
                    <c:v>OMYA</c:v>
                  </c:pt>
                  <c:pt idx="4">
                    <c:v>ESTACION RIOTEX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:lvl>
              </c:multiLvlStrCache>
            </c:multiLvlStrRef>
          </c:cat>
          <c:val>
            <c:numRef>
              <c:f>'MO620'!$L$32:$L$36</c:f>
              <c:numCache>
                <c:formatCode>0.00</c:formatCode>
                <c:ptCount val="5"/>
                <c:pt idx="0">
                  <c:v>0.11000000000000001</c:v>
                </c:pt>
                <c:pt idx="1">
                  <c:v>0.12</c:v>
                </c:pt>
                <c:pt idx="2">
                  <c:v>0.29312500000000002</c:v>
                </c:pt>
                <c:pt idx="3">
                  <c:v>0.14875000000000005</c:v>
                </c:pt>
                <c:pt idx="4">
                  <c:v>0.41187499999999994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17-42BE-9A07-418DFC8CD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'MO620'!$S$22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25400">
              <a:noFill/>
            </a:ln>
            <a:effectLst/>
          </c:spPr>
          <c:cat>
            <c:numRef>
              <c:f>'MO620'!$O$23:$O$28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'MO620'!$S$23:$S$28</c:f>
              <c:numCache>
                <c:formatCode>0.00</c:formatCode>
                <c:ptCount val="6"/>
                <c:pt idx="0">
                  <c:v>0.4</c:v>
                </c:pt>
                <c:pt idx="1">
                  <c:v>0.9</c:v>
                </c:pt>
                <c:pt idx="2">
                  <c:v>0.4</c:v>
                </c:pt>
                <c:pt idx="3">
                  <c:v>0.57999999999999996</c:v>
                </c:pt>
                <c:pt idx="4">
                  <c:v>0.4</c:v>
                </c:pt>
                <c:pt idx="5">
                  <c:v>1.46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E-4AB6-914C-CBBDC2887B53}"/>
            </c:ext>
          </c:extLst>
        </c:ser>
        <c:ser>
          <c:idx val="1"/>
          <c:order val="2"/>
          <c:tx>
            <c:strRef>
              <c:f>'MO620'!$Q$22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numRef>
              <c:f>'MO620'!$O$23:$O$28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'MO620'!$Q$23:$Q$28</c:f>
              <c:numCache>
                <c:formatCode>0.00</c:formatCode>
                <c:ptCount val="6"/>
                <c:pt idx="0">
                  <c:v>0.1</c:v>
                </c:pt>
                <c:pt idx="1">
                  <c:v>0.1</c:v>
                </c:pt>
                <c:pt idx="2">
                  <c:v>0.06</c:v>
                </c:pt>
                <c:pt idx="3">
                  <c:v>0.04</c:v>
                </c:pt>
                <c:pt idx="4">
                  <c:v>0.02</c:v>
                </c:pt>
                <c:pt idx="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E-4AB6-914C-CBBDC2887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'MO620'!$R$22</c:f>
              <c:strCache>
                <c:ptCount val="1"/>
                <c:pt idx="0">
                  <c:v>Media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'MO620'!$O$23:$O$28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'MO620'!$R$23:$R$28</c:f>
              <c:numCache>
                <c:formatCode>0.00</c:formatCode>
                <c:ptCount val="6"/>
                <c:pt idx="0">
                  <c:v>0.16</c:v>
                </c:pt>
                <c:pt idx="1">
                  <c:v>0.23333333333333336</c:v>
                </c:pt>
                <c:pt idx="2">
                  <c:v>0.19866666666666666</c:v>
                </c:pt>
                <c:pt idx="3">
                  <c:v>0.16999999999999998</c:v>
                </c:pt>
                <c:pt idx="4">
                  <c:v>9.0666666666666659E-2</c:v>
                </c:pt>
                <c:pt idx="5">
                  <c:v>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EE-4AB6-914C-CBBDC2887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'Intervalos de confianza'!$F$2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cat>
            <c:multiLvlStrRef>
              <c:f>'Intervalos de confianza'!$A$3:$B$6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'Intervalos de confianza'!$F$3:$F$6</c:f>
              <c:numCache>
                <c:formatCode>General</c:formatCode>
                <c:ptCount val="4"/>
                <c:pt idx="0">
                  <c:v>0.98</c:v>
                </c:pt>
                <c:pt idx="1">
                  <c:v>2</c:v>
                </c:pt>
                <c:pt idx="2">
                  <c:v>1.8</c:v>
                </c:pt>
                <c:pt idx="3">
                  <c:v>3.32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7-44B5-AD5B-4E2FB7ED65E5}"/>
            </c:ext>
          </c:extLst>
        </c:ser>
        <c:ser>
          <c:idx val="1"/>
          <c:order val="2"/>
          <c:tx>
            <c:strRef>
              <c:f>'Intervalos de confianza'!$D$2</c:f>
              <c:strCache>
                <c:ptCount val="1"/>
                <c:pt idx="0">
                  <c:v>Mín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  <a:effectLst/>
          </c:spPr>
          <c:cat>
            <c:multiLvlStrRef>
              <c:f>'Intervalos de confianza'!$A$3:$B$6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'Intervalos de confianza'!$D$3:$D$6</c:f>
              <c:numCache>
                <c:formatCode>General</c:formatCode>
                <c:ptCount val="4"/>
                <c:pt idx="0">
                  <c:v>0.34</c:v>
                </c:pt>
                <c:pt idx="1">
                  <c:v>0.4</c:v>
                </c:pt>
                <c:pt idx="2">
                  <c:v>0.26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07-44B5-AD5B-4E2FB7ED6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94767"/>
        <c:axId val="103093807"/>
      </c:areaChart>
      <c:lineChart>
        <c:grouping val="stacked"/>
        <c:varyColors val="0"/>
        <c:ser>
          <c:idx val="2"/>
          <c:order val="1"/>
          <c:tx>
            <c:strRef>
              <c:f>'Intervalos de confianza'!$E$2</c:f>
              <c:strCache>
                <c:ptCount val="1"/>
                <c:pt idx="0">
                  <c:v>Media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'Intervalos de confianza'!$A$3:$B$6</c:f>
              <c:multiLvlStrCache>
                <c:ptCount val="4"/>
                <c:lvl>
                  <c:pt idx="0">
                    <c:v>ESTACION LA AMISTAD</c:v>
                  </c:pt>
                  <c:pt idx="1">
                    <c:v>ESTACION EL CHAGUALO</c:v>
                  </c:pt>
                  <c:pt idx="2">
                    <c:v>ESTACION PUENTE LA FERIA</c:v>
                  </c:pt>
                  <c:pt idx="3">
                    <c:v>ESTACION ALCARAVANES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'Intervalos de confianza'!$E$3:$E$6</c:f>
              <c:numCache>
                <c:formatCode>General</c:formatCode>
                <c:ptCount val="4"/>
                <c:pt idx="0">
                  <c:v>0.56000000000000005</c:v>
                </c:pt>
                <c:pt idx="1">
                  <c:v>0.8</c:v>
                </c:pt>
                <c:pt idx="2">
                  <c:v>0.71</c:v>
                </c:pt>
                <c:pt idx="3">
                  <c:v>1.07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07-44B5-AD5B-4E2FB7ED6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94767"/>
        <c:axId val="103093807"/>
      </c:lineChart>
      <c:catAx>
        <c:axId val="1030947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3807"/>
        <c:crosses val="autoZero"/>
        <c:auto val="1"/>
        <c:lblAlgn val="ctr"/>
        <c:lblOffset val="100"/>
        <c:noMultiLvlLbl val="0"/>
      </c:catAx>
      <c:valAx>
        <c:axId val="1030938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03094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boxWhisker" uniqueId="{08E6AE2D-5A50-4177-94BD-8706F7B26732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plotArea>
      <cx:plotAreaRegion>
        <cx:series layoutId="boxWhisker" uniqueId="{4DF64BDD-D9CB-4859-A42E-163EC9C741DE}"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_xlchart.v1.4</cx:f>
      </cx:numDim>
    </cx:data>
  </cx:chartData>
  <cx:chart>
    <cx:plotArea>
      <cx:plotAreaRegion>
        <cx:series layoutId="boxWhisker" uniqueId="{B954B839-D231-419B-AA4F-9B4B30C1E63B}"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_xlchart.v1.7</cx:f>
      </cx:numDim>
    </cx:data>
  </cx:chartData>
  <cx:chart>
    <cx:plotArea>
      <cx:plotAreaRegion>
        <cx:series layoutId="boxWhisker" uniqueId="{08E6AE2D-5A50-4177-94BD-8706F7B26732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plotArea>
      <cx:plotAreaRegion>
        <cx:series layoutId="boxWhisker" uniqueId="{4DF64BDD-D9CB-4859-A42E-163EC9C741DE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val">
        <cx:f>_xlchart.v1.9</cx:f>
      </cx:numDim>
    </cx:data>
  </cx:chartData>
  <cx:chart>
    <cx:plotArea>
      <cx:plotAreaRegion>
        <cx:series layoutId="boxWhisker" uniqueId="{B954B839-D231-419B-AA4F-9B4B30C1E63B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val">
        <cx:f>_xlchart.v1.11</cx:f>
      </cx:numDim>
    </cx:data>
  </cx:chartData>
  <cx:chart>
    <cx:plotArea>
      <cx:plotAreaRegion>
        <cx:series layoutId="boxWhisker" uniqueId="{08E6AE2D-5A50-4177-94BD-8706F7B26732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_xlchart.v1.12</cx:f>
      </cx:numDim>
    </cx:data>
  </cx:chartData>
  <cx:chart>
    <cx:plotArea>
      <cx:plotAreaRegion>
        <cx:series layoutId="boxWhisker" uniqueId="{4DF64BDD-D9CB-4859-A42E-163EC9C741DE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_xlchart.v1.13</cx:f>
      </cx:strDim>
      <cx:numDim type="val">
        <cx:f>_xlchart.v1.14</cx:f>
      </cx:numDim>
    </cx:data>
  </cx:chartData>
  <cx:chart>
    <cx:plotArea>
      <cx:plotAreaRegion>
        <cx:series layoutId="boxWhisker" uniqueId="{B954B839-D231-419B-AA4F-9B4B30C1E63B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_xlchart.v1.17</cx:f>
      </cx:strDim>
      <cx:numDim type="val">
        <cx:f>_xlchart.v1.18</cx:f>
      </cx:numDim>
    </cx:data>
  </cx:chartData>
  <cx:chart>
    <cx:plotArea>
      <cx:plotAreaRegion>
        <cx:series layoutId="boxWhisker" uniqueId="{08E6AE2D-5A50-4177-94BD-8706F7B26732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_xlchart.v1.19</cx:f>
      </cx:numDim>
    </cx:data>
  </cx:chartData>
  <cx:chart>
    <cx:plotArea>
      <cx:plotAreaRegion>
        <cx:series layoutId="boxWhisker" uniqueId="{4DF64BDD-D9CB-4859-A42E-163EC9C741DE}"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_xlchart.v1.15</cx:f>
      </cx:strDim>
      <cx:numDim type="val">
        <cx:f>_xlchart.v1.16</cx:f>
      </cx:numDim>
    </cx:data>
  </cx:chartData>
  <cx:chart>
    <cx:plotArea>
      <cx:plotAreaRegion>
        <cx:series layoutId="boxWhisker" uniqueId="{B954B839-D231-419B-AA4F-9B4B30C1E63B}"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_xlchart.v1.20</cx:f>
      </cx:strDim>
      <cx:numDim type="val">
        <cx:f>_xlchart.v1.21</cx:f>
      </cx:numDim>
    </cx:data>
  </cx:chartData>
  <cx:chart>
    <cx:plotArea>
      <cx:plotAreaRegion>
        <cx:series layoutId="boxWhisker" uniqueId="{08E6AE2D-5A50-4177-94BD-8706F7B26732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1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_xlchart.v1.22</cx:f>
      </cx:numDim>
    </cx:data>
  </cx:chartData>
  <cx:chart>
    <cx:plotArea>
      <cx:plotAreaRegion>
        <cx:series layoutId="boxWhisker" uniqueId="{4DF64BDD-D9CB-4859-A42E-163EC9C741DE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_xlchart.v1.23</cx:f>
      </cx:strDim>
      <cx:numDim type="val">
        <cx:f>_xlchart.v1.24</cx:f>
      </cx:numDim>
    </cx:data>
  </cx:chartData>
  <cx:chart>
    <cx:plotArea>
      <cx:plotAreaRegion>
        <cx:series layoutId="boxWhisker" uniqueId="{B954B839-D231-419B-AA4F-9B4B30C1E63B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_xlchart.v1.25</cx:f>
      </cx:strDim>
      <cx:numDim type="val">
        <cx:f>_xlchart.v1.26</cx:f>
      </cx:numDim>
    </cx:data>
  </cx:chartData>
  <cx:chart>
    <cx:plotArea>
      <cx:plotAreaRegion>
        <cx:series layoutId="boxWhisker" uniqueId="{08E6AE2D-5A50-4177-94BD-8706F7B26732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1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_xlchart.v1.27</cx:f>
      </cx:numDim>
    </cx:data>
  </cx:chartData>
  <cx:chart>
    <cx:plotArea>
      <cx:plotAreaRegion>
        <cx:series layoutId="boxWhisker" uniqueId="{4DF64BDD-D9CB-4859-A42E-163EC9C741DE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_xlchart.v1.28</cx:f>
      </cx:strDim>
      <cx:numDim type="val">
        <cx:f>_xlchart.v1.29</cx:f>
      </cx:numDim>
    </cx:data>
  </cx:chartData>
  <cx:chart>
    <cx:plotArea>
      <cx:plotAreaRegion>
        <cx:series layoutId="boxWhisker" uniqueId="{B954B839-D231-419B-AA4F-9B4B30C1E63B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1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_xlchart.v1.30</cx:f>
      </cx:strDim>
      <cx:numDim type="val">
        <cx:f>_xlchart.v1.31</cx:f>
      </cx:numDim>
    </cx:data>
  </cx:chartData>
  <cx:chart>
    <cx:plotArea>
      <cx:plotAreaRegion>
        <cx:series layoutId="boxWhisker" uniqueId="{08E6AE2D-5A50-4177-94BD-8706F7B26732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_xlchart.v1.32</cx:f>
      </cx:numDim>
    </cx:data>
  </cx:chartData>
  <cx:chart>
    <cx:plotArea>
      <cx:plotAreaRegion>
        <cx:series layoutId="boxWhisker" uniqueId="{4DF64BDD-D9CB-4859-A42E-163EC9C741DE}"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_xlchart.v1.33</cx:f>
      </cx:strDim>
      <cx:numDim type="val">
        <cx:f>_xlchart.v1.34</cx:f>
      </cx:numDim>
    </cx:data>
  </cx:chartData>
  <cx:chart>
    <cx:plotArea>
      <cx:plotAreaRegion>
        <cx:series layoutId="boxWhisker" uniqueId="{B954B839-D231-419B-AA4F-9B4B30C1E63B}"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_xlchart.v1.36</cx:f>
      </cx:strDim>
      <cx:numDim type="val">
        <cx:f>_xlchart.v1.37</cx:f>
      </cx:numDim>
    </cx:data>
  </cx:chartData>
  <cx:chart>
    <cx:plotArea>
      <cx:plotAreaRegion>
        <cx:series layoutId="boxWhisker" uniqueId="{08E6AE2D-5A50-4177-94BD-8706F7B26732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_xlchart.v1.35</cx:f>
      </cx:numDim>
    </cx:data>
  </cx:chartData>
  <cx:chart>
    <cx:plotArea>
      <cx:plotAreaRegion>
        <cx:series layoutId="boxWhisker" uniqueId="{4DF64BDD-D9CB-4859-A42E-163EC9C741DE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_xlchart.v1.38</cx:f>
      </cx:strDim>
      <cx:numDim type="val">
        <cx:f>_xlchart.v1.39</cx:f>
      </cx:numDim>
    </cx:data>
  </cx:chartData>
  <cx:chart>
    <cx:plotArea>
      <cx:plotAreaRegion>
        <cx:series layoutId="boxWhisker" uniqueId="{B954B839-D231-419B-AA4F-9B4B30C1E63B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_xlchart.v1.40</cx:f>
      </cx:strDim>
      <cx:numDim type="val">
        <cx:f>_xlchart.v1.41</cx:f>
      </cx:numDim>
    </cx:data>
  </cx:chartData>
  <cx:chart>
    <cx:plotArea>
      <cx:plotAreaRegion>
        <cx:series layoutId="boxWhisker" uniqueId="{08E6AE2D-5A50-4177-94BD-8706F7B26732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_xlchart.v1.42</cx:f>
      </cx:numDim>
    </cx:data>
  </cx:chartData>
  <cx:chart>
    <cx:plotArea>
      <cx:plotAreaRegion>
        <cx:series layoutId="boxWhisker" uniqueId="{4DF64BDD-D9CB-4859-A42E-163EC9C741DE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_xlchart.v1.43</cx:f>
      </cx:strDim>
      <cx:numDim type="val">
        <cx:f>_xlchart.v1.44</cx:f>
      </cx:numDim>
    </cx:data>
  </cx:chartData>
  <cx:chart>
    <cx:plotArea>
      <cx:plotAreaRegion>
        <cx:series layoutId="boxWhisker" uniqueId="{B954B839-D231-419B-AA4F-9B4B30C1E63B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2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_xlchart.v1.45</cx:f>
      </cx:strDim>
      <cx:numDim type="val">
        <cx:f>_xlchart.v1.46</cx:f>
      </cx:numDim>
    </cx:data>
  </cx:chartData>
  <cx:chart>
    <cx:plotArea>
      <cx:plotAreaRegion>
        <cx:series layoutId="boxWhisker" uniqueId="{08E6AE2D-5A50-4177-94BD-8706F7B26732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2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_xlchart.v1.47</cx:f>
      </cx:numDim>
    </cx:data>
  </cx:chartData>
  <cx:chart>
    <cx:plotArea>
      <cx:plotAreaRegion>
        <cx:series layoutId="boxWhisker" uniqueId="{4DF64BDD-D9CB-4859-A42E-163EC9C741DE}"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_xlchart.v1.48</cx:f>
      </cx:strDim>
      <cx:numDim type="val">
        <cx:f>_xlchart.v1.49</cx:f>
      </cx:numDim>
    </cx:data>
  </cx:chartData>
  <cx:chart>
    <cx:plotArea>
      <cx:plotAreaRegion>
        <cx:series layoutId="boxWhisker" uniqueId="{B954B839-D231-419B-AA4F-9B4B30C1E63B}"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_xlchart.v1.52</cx:f>
      </cx:strDim>
      <cx:numDim type="val">
        <cx:f>_xlchart.v1.53</cx:f>
      </cx:numDim>
    </cx:data>
  </cx:chartData>
  <cx:chart>
    <cx:plotArea>
      <cx:plotAreaRegion>
        <cx:series layoutId="boxWhisker" uniqueId="{08E6AE2D-5A50-4177-94BD-8706F7B26732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3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_xlchart.v1.54</cx:f>
      </cx:numDim>
    </cx:data>
  </cx:chartData>
  <cx:chart>
    <cx:plotArea>
      <cx:plotAreaRegion>
        <cx:series layoutId="boxWhisker" uniqueId="{4DF64BDD-D9CB-4859-A42E-163EC9C741DE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_xlchart.v1.50</cx:f>
      </cx:strDim>
      <cx:numDim type="val">
        <cx:f>_xlchart.v1.51</cx:f>
      </cx:numDim>
    </cx:data>
  </cx:chartData>
  <cx:chart>
    <cx:plotArea>
      <cx:plotAreaRegion>
        <cx:series layoutId="boxWhisker" uniqueId="{B954B839-D231-419B-AA4F-9B4B30C1E63B}">
          <cx:spPr>
            <a:solidFill>
              <a:srgbClr val="FFFF00"/>
            </a:solidFill>
            <a:ln>
              <a:solidFill>
                <a:srgbClr val="808000"/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_xlchart.v1.55</cx:f>
      </cx:strDim>
      <cx:numDim type="val">
        <cx:f>_xlchart.v1.56</cx:f>
      </cx:numDim>
    </cx:data>
  </cx:chartData>
  <cx:chart>
    <cx:plotArea>
      <cx:plotAreaRegion>
        <cx:series layoutId="boxWhisker" uniqueId="{08E6AE2D-5A50-4177-94BD-8706F7B26732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3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_xlchart.v1.57</cx:f>
      </cx:numDim>
    </cx:data>
  </cx:chartData>
  <cx:chart>
    <cx:plotArea>
      <cx:plotAreaRegion>
        <cx:series layoutId="boxWhisker" uniqueId="{4DF64BDD-D9CB-4859-A42E-163EC9C741DE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numFmt formatCode="#.##0,0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_xlchart.v1.58</cx:f>
      </cx:strDim>
      <cx:numDim type="val">
        <cx:f>_xlchart.v1.59</cx:f>
      </cx:numDim>
    </cx:data>
  </cx:chartData>
  <cx:chart>
    <cx:plotArea>
      <cx:plotAreaRegion>
        <cx:series layoutId="boxWhisker" uniqueId="{B954B839-D231-419B-AA4F-9B4B30C1E63B}"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 hidden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_xlchart.v1.60</cx:f>
      </cx:strDim>
      <cx:numDim type="val">
        <cx:f>_xlchart.v1.61</cx:f>
      </cx:numDim>
    </cx:data>
  </cx:chartData>
  <cx:chart>
    <cx:plotArea>
      <cx:plotAreaRegion>
        <cx:series layoutId="boxWhisker" uniqueId="{08E6AE2D-5A50-4177-94BD-8706F7B26732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 hidden="1">
        <cx:valScaling/>
        <cx:tickLabels/>
      </cx:axis>
    </cx:plotArea>
  </cx:chart>
  <cx:spPr>
    <a:noFill/>
    <a:ln>
      <a:noFill/>
    </a:ln>
  </cx:spPr>
</cx:chartSpace>
</file>

<file path=xl/charts/chartEx3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_xlchart.v1.62</cx:f>
      </cx:numDim>
    </cx:data>
  </cx:chartData>
  <cx:chart>
    <cx:plotArea>
      <cx:plotAreaRegion>
        <cx:series layoutId="boxWhisker" uniqueId="{00000000-2AA5-4B7D-9862-1EEF3BE56B56}">
          <cx:dataId val="0"/>
          <cx:layoutPr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3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lvl ptCount="0"/>
      </cx:numDim>
    </cx:data>
  </cx:chartData>
  <cx:chart>
    <cx:plotArea>
      <cx:plotAreaRegion>
        <cx:series layoutId="boxWhisker" uniqueId="{017D71AC-4A41-4110-9344-B8F35090B449}">
          <cx:spPr>
            <a:solidFill>
              <a:srgbClr val="EBE600"/>
            </a:solidFill>
          </cx:spPr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 max="3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hartEx4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lvl ptCount="0"/>
      </cx:numDim>
    </cx:data>
  </cx:chartData>
  <cx:chart>
    <cx:plotArea>
      <cx:plotAreaRegion>
        <cx:series layoutId="boxWhisker" uniqueId="{5AD75D3A-BAF0-4416-91A6-96F594BEC93C}">
          <cx:dataId val="0"/>
          <cx:layoutPr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 max="3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  <cx:spPr>
    <a:noFill/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66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5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2.xml"/><Relationship Id="rId2" Type="http://schemas.microsoft.com/office/2014/relationships/chartEx" Target="../charts/chartEx1.xml"/><Relationship Id="rId1" Type="http://schemas.openxmlformats.org/officeDocument/2006/relationships/chart" Target="../charts/chart2.xml"/><Relationship Id="rId5" Type="http://schemas.microsoft.com/office/2014/relationships/chartEx" Target="../charts/chartEx3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14/relationships/chartEx" Target="../charts/chartEx5.xml"/><Relationship Id="rId2" Type="http://schemas.microsoft.com/office/2014/relationships/chartEx" Target="../charts/chartEx4.xml"/><Relationship Id="rId1" Type="http://schemas.openxmlformats.org/officeDocument/2006/relationships/chart" Target="../charts/chart4.xml"/><Relationship Id="rId5" Type="http://schemas.microsoft.com/office/2014/relationships/chartEx" Target="../charts/chartEx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14/relationships/chartEx" Target="../charts/chartEx8.xml"/><Relationship Id="rId2" Type="http://schemas.microsoft.com/office/2014/relationships/chartEx" Target="../charts/chartEx7.xml"/><Relationship Id="rId1" Type="http://schemas.openxmlformats.org/officeDocument/2006/relationships/chart" Target="../charts/chart6.xml"/><Relationship Id="rId5" Type="http://schemas.microsoft.com/office/2014/relationships/chartEx" Target="../charts/chartEx9.xml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14/relationships/chartEx" Target="../charts/chartEx11.xml"/><Relationship Id="rId2" Type="http://schemas.microsoft.com/office/2014/relationships/chartEx" Target="../charts/chartEx10.xml"/><Relationship Id="rId1" Type="http://schemas.openxmlformats.org/officeDocument/2006/relationships/chart" Target="../charts/chart8.xml"/><Relationship Id="rId5" Type="http://schemas.microsoft.com/office/2014/relationships/chartEx" Target="../charts/chartEx12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microsoft.com/office/2014/relationships/chartEx" Target="../charts/chartEx14.xml"/><Relationship Id="rId2" Type="http://schemas.microsoft.com/office/2014/relationships/chartEx" Target="../charts/chartEx13.xml"/><Relationship Id="rId1" Type="http://schemas.openxmlformats.org/officeDocument/2006/relationships/chart" Target="../charts/chart10.xml"/><Relationship Id="rId5" Type="http://schemas.microsoft.com/office/2014/relationships/chartEx" Target="../charts/chartEx15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microsoft.com/office/2014/relationships/chartEx" Target="../charts/chartEx17.xml"/><Relationship Id="rId2" Type="http://schemas.microsoft.com/office/2014/relationships/chartEx" Target="../charts/chartEx16.xml"/><Relationship Id="rId1" Type="http://schemas.openxmlformats.org/officeDocument/2006/relationships/chart" Target="../charts/chart12.xml"/><Relationship Id="rId5" Type="http://schemas.microsoft.com/office/2014/relationships/chartEx" Target="../charts/chartEx18.xml"/><Relationship Id="rId4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14/relationships/chartEx" Target="../charts/chartEx20.xml"/><Relationship Id="rId2" Type="http://schemas.microsoft.com/office/2014/relationships/chartEx" Target="../charts/chartEx19.xml"/><Relationship Id="rId1" Type="http://schemas.openxmlformats.org/officeDocument/2006/relationships/chart" Target="../charts/chart14.xml"/><Relationship Id="rId5" Type="http://schemas.microsoft.com/office/2014/relationships/chartEx" Target="../charts/chartEx21.xml"/><Relationship Id="rId4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14/relationships/chartEx" Target="../charts/chartEx23.xml"/><Relationship Id="rId2" Type="http://schemas.microsoft.com/office/2014/relationships/chartEx" Target="../charts/chartEx22.xml"/><Relationship Id="rId1" Type="http://schemas.openxmlformats.org/officeDocument/2006/relationships/chart" Target="../charts/chart16.xml"/><Relationship Id="rId5" Type="http://schemas.microsoft.com/office/2014/relationships/chartEx" Target="../charts/chartEx24.xml"/><Relationship Id="rId4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14/relationships/chartEx" Target="../charts/chartEx26.xml"/><Relationship Id="rId2" Type="http://schemas.microsoft.com/office/2014/relationships/chartEx" Target="../charts/chartEx25.xml"/><Relationship Id="rId1" Type="http://schemas.openxmlformats.org/officeDocument/2006/relationships/chart" Target="../charts/chart18.xml"/><Relationship Id="rId5" Type="http://schemas.microsoft.com/office/2014/relationships/chartEx" Target="../charts/chartEx27.xml"/><Relationship Id="rId4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14/relationships/chartEx" Target="../charts/chartEx29.xml"/><Relationship Id="rId2" Type="http://schemas.microsoft.com/office/2014/relationships/chartEx" Target="../charts/chartEx28.xml"/><Relationship Id="rId1" Type="http://schemas.openxmlformats.org/officeDocument/2006/relationships/chart" Target="../charts/chart20.xml"/><Relationship Id="rId5" Type="http://schemas.microsoft.com/office/2014/relationships/chartEx" Target="../charts/chartEx30.xml"/><Relationship Id="rId4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3" Type="http://schemas.microsoft.com/office/2014/relationships/chartEx" Target="../charts/chartEx32.xml"/><Relationship Id="rId2" Type="http://schemas.microsoft.com/office/2014/relationships/chartEx" Target="../charts/chartEx31.xml"/><Relationship Id="rId1" Type="http://schemas.openxmlformats.org/officeDocument/2006/relationships/chart" Target="../charts/chart22.xml"/><Relationship Id="rId5" Type="http://schemas.microsoft.com/office/2014/relationships/chartEx" Target="../charts/chartEx33.xml"/><Relationship Id="rId4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3" Type="http://schemas.microsoft.com/office/2014/relationships/chartEx" Target="../charts/chartEx35.xml"/><Relationship Id="rId2" Type="http://schemas.microsoft.com/office/2014/relationships/chartEx" Target="../charts/chartEx34.xml"/><Relationship Id="rId1" Type="http://schemas.openxmlformats.org/officeDocument/2006/relationships/chart" Target="../charts/chart24.xml"/><Relationship Id="rId5" Type="http://schemas.microsoft.com/office/2014/relationships/chartEx" Target="../charts/chartEx36.xml"/><Relationship Id="rId4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14/relationships/chartEx" Target="../charts/chartEx38.xml"/><Relationship Id="rId2" Type="http://schemas.microsoft.com/office/2014/relationships/chartEx" Target="../charts/chartEx37.xml"/><Relationship Id="rId1" Type="http://schemas.openxmlformats.org/officeDocument/2006/relationships/chart" Target="../charts/chart26.xml"/><Relationship Id="rId5" Type="http://schemas.microsoft.com/office/2014/relationships/chartEx" Target="../charts/chartEx40.xml"/><Relationship Id="rId4" Type="http://schemas.microsoft.com/office/2014/relationships/chartEx" Target="../charts/chartEx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319087</xdr:colOff>
      <xdr:row>1</xdr:row>
      <xdr:rowOff>95250</xdr:rowOff>
    </xdr:from>
    <xdr:to>
      <xdr:col>10</xdr:col>
      <xdr:colOff>1321593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BA3EE51-12E6-8125-A5D5-80F74D2465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2</xdr:row>
      <xdr:rowOff>118608</xdr:rowOff>
    </xdr:from>
    <xdr:to>
      <xdr:col>13</xdr:col>
      <xdr:colOff>504371</xdr:colOff>
      <xdr:row>26</xdr:row>
      <xdr:rowOff>190046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A0AA7C5F-D674-3E17-10E1-3B4C22BEEEDE}"/>
            </a:ext>
          </a:extLst>
        </xdr:cNvPr>
        <xdr:cNvGrpSpPr/>
      </xdr:nvGrpSpPr>
      <xdr:grpSpPr>
        <a:xfrm>
          <a:off x="8382000" y="499608"/>
          <a:ext cx="4921590" cy="4643438"/>
          <a:chOff x="8998194" y="486874"/>
          <a:chExt cx="4572000" cy="4249982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731D81B9-6448-3ECF-075D-0C9779CE9814}"/>
              </a:ext>
            </a:extLst>
          </xdr:cNvPr>
          <xdr:cNvGraphicFramePr/>
        </xdr:nvGraphicFramePr>
        <xdr:xfrm>
          <a:off x="8998194" y="486874"/>
          <a:ext cx="4572000" cy="42499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BE6CF9C4-8037-4C1E-B31E-BF8800204B8D}"/>
                  </a:ext>
                </a:extLst>
              </xdr:cNvPr>
              <xdr:cNvGraphicFramePr/>
            </xdr:nvGraphicFramePr>
            <xdr:xfrm>
              <a:off x="9252587" y="585366"/>
              <a:ext cx="4255861" cy="197427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252587" y="585366"/>
                <a:ext cx="4255861" cy="197427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393954</xdr:colOff>
      <xdr:row>3</xdr:row>
      <xdr:rowOff>91149</xdr:rowOff>
    </xdr:from>
    <xdr:to>
      <xdr:col>22</xdr:col>
      <xdr:colOff>345281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áfico 6">
              <a:extLst>
                <a:ext uri="{FF2B5EF4-FFF2-40B4-BE49-F238E27FC236}">
                  <a16:creationId xmlns:a16="http://schemas.microsoft.com/office/drawing/2014/main" id="{847BF66B-E4E7-435E-8454-D42C894D5EA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67654" y="662649"/>
              <a:ext cx="1570577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DA706C05-8F92-4D61-190B-E2B6B4B0B6BE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5" name="Gráfico 4">
            <a:extLst>
              <a:ext uri="{FF2B5EF4-FFF2-40B4-BE49-F238E27FC236}">
                <a16:creationId xmlns:a16="http://schemas.microsoft.com/office/drawing/2014/main" id="{03E89859-B7B3-781F-A880-9D558C372C5A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9" name="Gráfico 8">
                <a:extLst>
                  <a:ext uri="{FF2B5EF4-FFF2-40B4-BE49-F238E27FC236}">
                    <a16:creationId xmlns:a16="http://schemas.microsoft.com/office/drawing/2014/main" id="{2DAA6885-DF68-47C4-93FB-895A7D0ED7E2}"/>
                  </a:ext>
                </a:extLst>
              </xdr:cNvPr>
              <xdr:cNvGraphicFramePr/>
            </xdr:nvGraphicFramePr>
            <xdr:xfrm>
              <a:off x="14987973" y="5286375"/>
              <a:ext cx="4240620" cy="2559844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286375"/>
                <a:ext cx="4240620" cy="2559844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2</xdr:row>
      <xdr:rowOff>118608</xdr:rowOff>
    </xdr:from>
    <xdr:to>
      <xdr:col>13</xdr:col>
      <xdr:colOff>528184</xdr:colOff>
      <xdr:row>26</xdr:row>
      <xdr:rowOff>190046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F72B1FE2-1964-41C6-5CD1-773FF809E807}"/>
            </a:ext>
          </a:extLst>
        </xdr:cNvPr>
        <xdr:cNvGrpSpPr/>
      </xdr:nvGrpSpPr>
      <xdr:grpSpPr>
        <a:xfrm>
          <a:off x="8405813" y="499608"/>
          <a:ext cx="4921590" cy="4643438"/>
          <a:chOff x="8405813" y="499608"/>
          <a:chExt cx="4921590" cy="4643438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52096C85-7818-D9A0-84A9-C4C09284A9B7}"/>
              </a:ext>
            </a:extLst>
          </xdr:cNvPr>
          <xdr:cNvGraphicFramePr/>
        </xdr:nvGraphicFramePr>
        <xdr:xfrm>
          <a:off x="8405813" y="499608"/>
          <a:ext cx="4921590" cy="46434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9C134BC3-FC3B-E69E-4ED1-C752DB685D90}"/>
                  </a:ext>
                </a:extLst>
              </xdr:cNvPr>
              <xdr:cNvGraphicFramePr/>
            </xdr:nvGraphicFramePr>
            <xdr:xfrm>
              <a:off x="8691564" y="619124"/>
              <a:ext cx="4581278" cy="2166938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8691564" y="619124"/>
                <a:ext cx="4581278" cy="2166938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D6330353-5296-48F8-B856-B0E543DD0AB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95248</xdr:colOff>
      <xdr:row>2</xdr:row>
      <xdr:rowOff>119063</xdr:rowOff>
    </xdr:from>
    <xdr:to>
      <xdr:col>19</xdr:col>
      <xdr:colOff>690559</xdr:colOff>
      <xdr:row>17</xdr:row>
      <xdr:rowOff>83345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9FAE4CA-50DC-4C3C-BF5A-3ECC6DC0B07A}"/>
            </a:ext>
          </a:extLst>
        </xdr:cNvPr>
        <xdr:cNvGrpSpPr/>
      </xdr:nvGrpSpPr>
      <xdr:grpSpPr>
        <a:xfrm>
          <a:off x="13656467" y="500063"/>
          <a:ext cx="4405311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844626CE-1A1C-B62B-36F5-6024C7877AE8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F47FE91C-5199-79E8-43E5-B213930A8D6C}"/>
                  </a:ext>
                </a:extLst>
              </xdr:cNvPr>
              <xdr:cNvGraphicFramePr/>
            </xdr:nvGraphicFramePr>
            <xdr:xfrm>
              <a:off x="15000330" y="5286375"/>
              <a:ext cx="4240620" cy="2559844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5000330" y="5286375"/>
                <a:ext cx="4240620" cy="2559844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2</xdr:row>
      <xdr:rowOff>118608</xdr:rowOff>
    </xdr:from>
    <xdr:to>
      <xdr:col>13</xdr:col>
      <xdr:colOff>528184</xdr:colOff>
      <xdr:row>26</xdr:row>
      <xdr:rowOff>190046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AB395A7-2237-4FAC-83E4-0B224467214B}"/>
            </a:ext>
          </a:extLst>
        </xdr:cNvPr>
        <xdr:cNvGrpSpPr/>
      </xdr:nvGrpSpPr>
      <xdr:grpSpPr>
        <a:xfrm>
          <a:off x="8405813" y="499608"/>
          <a:ext cx="4921590" cy="4643438"/>
          <a:chOff x="8405813" y="499608"/>
          <a:chExt cx="4921590" cy="4643438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59277019-7010-830B-7783-58EB4D6B1E9F}"/>
              </a:ext>
            </a:extLst>
          </xdr:cNvPr>
          <xdr:cNvGraphicFramePr/>
        </xdr:nvGraphicFramePr>
        <xdr:xfrm>
          <a:off x="8405813" y="499608"/>
          <a:ext cx="4921590" cy="46434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8B87AD94-0FB0-921F-A025-B9A26EA526E7}"/>
                  </a:ext>
                </a:extLst>
              </xdr:cNvPr>
              <xdr:cNvGraphicFramePr/>
            </xdr:nvGraphicFramePr>
            <xdr:xfrm>
              <a:off x="8679658" y="607217"/>
              <a:ext cx="4581278" cy="2166938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8679658" y="607217"/>
                <a:ext cx="4581278" cy="2166938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3B8F2316-7E3F-4952-8157-2C48032B6F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95248</xdr:colOff>
      <xdr:row>2</xdr:row>
      <xdr:rowOff>119062</xdr:rowOff>
    </xdr:from>
    <xdr:to>
      <xdr:col>19</xdr:col>
      <xdr:colOff>690559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3B62C78C-A1D2-4471-892E-21913D7C2B83}"/>
            </a:ext>
          </a:extLst>
        </xdr:cNvPr>
        <xdr:cNvGrpSpPr/>
      </xdr:nvGrpSpPr>
      <xdr:grpSpPr>
        <a:xfrm>
          <a:off x="13656467" y="500062"/>
          <a:ext cx="4405311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BDEDE72B-4427-D44B-897C-AEEDC0950E08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E6665322-3A8F-0D7A-0AE9-D348069ECB20}"/>
                  </a:ext>
                </a:extLst>
              </xdr:cNvPr>
              <xdr:cNvGraphicFramePr/>
            </xdr:nvGraphicFramePr>
            <xdr:xfrm>
              <a:off x="14987972" y="5274318"/>
              <a:ext cx="4240620" cy="2559844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2" y="5274318"/>
                <a:ext cx="4240620" cy="2559844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7B7B964-E526-41E3-A61E-14EA8977E356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471F3F34-AC5F-0CCB-1343-8FE57D25BE73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5A963529-0AD1-BECE-163A-5C71985D5573}"/>
                  </a:ext>
                </a:extLst>
              </xdr:cNvPr>
              <xdr:cNvGraphicFramePr/>
            </xdr:nvGraphicFramePr>
            <xdr:xfrm>
              <a:off x="9341070" y="868699"/>
              <a:ext cx="4236182" cy="2103196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868699"/>
                <a:ext cx="4236182" cy="21031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30D55EEA-F468-4FC2-8C2C-FE0283FCD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53C96B9-DC69-4B3C-A612-0396C9C3A403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AB7E7DCC-0D21-A845-7DDD-4B5844BA3210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E349783B-55E1-7F4A-B195-E7E345B46AE6}"/>
                  </a:ext>
                </a:extLst>
              </xdr:cNvPr>
              <xdr:cNvGraphicFramePr/>
            </xdr:nvGraphicFramePr>
            <xdr:xfrm>
              <a:off x="14987973" y="5528569"/>
              <a:ext cx="4240620" cy="2302879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528569"/>
                <a:ext cx="4240620" cy="230287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84E0598-2421-463E-95DE-3A16689F6894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20670C5F-FF6C-93A2-4F83-60DB627C11BE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CF81A350-E20F-686F-6C75-89292C49F3E8}"/>
                  </a:ext>
                </a:extLst>
              </xdr:cNvPr>
              <xdr:cNvGraphicFramePr/>
            </xdr:nvGraphicFramePr>
            <xdr:xfrm>
              <a:off x="9341070" y="672545"/>
              <a:ext cx="4236182" cy="229935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72545"/>
                <a:ext cx="4236182" cy="22993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167CA794-FBA5-4F92-8F57-DD50D38F16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D844D074-CE8B-4B9F-BDF3-4E7A5231550A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906556FE-08FC-D583-FF5A-10A19132C029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349C20B6-3D5F-12BB-2BCB-33FEC4C425C0}"/>
                  </a:ext>
                </a:extLst>
              </xdr:cNvPr>
              <xdr:cNvGraphicFramePr/>
            </xdr:nvGraphicFramePr>
            <xdr:xfrm>
              <a:off x="14987973" y="5287430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287430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4B68915-302A-4640-88C8-69DD71B6DCA8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FD3CE16C-2319-0519-E0A6-54E2ABBCE2D4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6F69E242-C44B-2353-27B7-A862698CF638}"/>
                  </a:ext>
                </a:extLst>
              </xdr:cNvPr>
              <xdr:cNvGraphicFramePr/>
            </xdr:nvGraphicFramePr>
            <xdr:xfrm>
              <a:off x="9341070" y="650749"/>
              <a:ext cx="4236182" cy="233204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50749"/>
                <a:ext cx="4236182" cy="233204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9AE3204B-72D7-4482-9D0C-8117E3A802B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2B4BB653-7D82-4F1F-A207-754B4D7EECC8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D2BBE359-2115-586F-B4E6-F3C8AECF09A4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86CD1BB9-17DC-6B60-544F-61A7EA67A0A3}"/>
                  </a:ext>
                </a:extLst>
              </xdr:cNvPr>
              <xdr:cNvGraphicFramePr/>
            </xdr:nvGraphicFramePr>
            <xdr:xfrm>
              <a:off x="15000330" y="5299487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5000330" y="5299487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11D1D4B-43F3-4E0F-B26F-B3BC2E0FE35F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AE580E3C-F4DC-D2D4-C255-229FDEE10041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CF0AD41A-6450-9A09-FBFB-48C2D8248324}"/>
                  </a:ext>
                </a:extLst>
              </xdr:cNvPr>
              <xdr:cNvGraphicFramePr/>
            </xdr:nvGraphicFramePr>
            <xdr:xfrm>
              <a:off x="9341070" y="650750"/>
              <a:ext cx="4236182" cy="2321146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50750"/>
                <a:ext cx="4236182" cy="232114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46DCAD91-D161-42D5-B8F2-65FD71D7C3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8726FF0-7821-4FCD-9D77-B430F69E56AA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F29ABF38-0246-95C6-2B13-EB1FA908EF3F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7EE6690E-1962-4555-2EFE-B11D98C3F1DA}"/>
                  </a:ext>
                </a:extLst>
              </xdr:cNvPr>
              <xdr:cNvGraphicFramePr/>
            </xdr:nvGraphicFramePr>
            <xdr:xfrm>
              <a:off x="14987973" y="5299486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299486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719AEEB-90FB-4323-8912-2FA2EA06DCF7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5D24A457-A967-984C-5762-F517D23B8A3E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FFD3E5B2-F36F-0808-3D1A-F748077988E5}"/>
                  </a:ext>
                </a:extLst>
              </xdr:cNvPr>
              <xdr:cNvGraphicFramePr/>
            </xdr:nvGraphicFramePr>
            <xdr:xfrm>
              <a:off x="9341070" y="672545"/>
              <a:ext cx="4236182" cy="229935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72545"/>
                <a:ext cx="4236182" cy="22993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7CA6C132-62CF-41B2-94B8-B7DACD04E67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C6428E92-3F87-46A3-920B-D9BB8AA829BB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DBFF8F91-1B9E-AF3B-3C70-198265B9303E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9512DD26-E8E1-6DFA-1F52-51F2A853834C}"/>
                  </a:ext>
                </a:extLst>
              </xdr:cNvPr>
              <xdr:cNvGraphicFramePr/>
            </xdr:nvGraphicFramePr>
            <xdr:xfrm>
              <a:off x="14987973" y="5287430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287430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9366155-EA7C-453E-AD44-08790384B3F6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34655F2D-82F1-E4DE-E850-501E5A5E3A17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49CCC02A-659D-7926-E2EB-0911B6B66DC1}"/>
                  </a:ext>
                </a:extLst>
              </xdr:cNvPr>
              <xdr:cNvGraphicFramePr/>
            </xdr:nvGraphicFramePr>
            <xdr:xfrm>
              <a:off x="9341070" y="650749"/>
              <a:ext cx="4236182" cy="233204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50749"/>
                <a:ext cx="4236182" cy="233204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11033B10-0B3F-4C9B-A4BF-36E840D03D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55A4762-1097-4780-9522-533F0965FA34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48B863F5-BE23-DE1B-9B7D-3158148DEAA4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0C655023-3C49-7A85-20B2-58DEC7CA7BE1}"/>
                  </a:ext>
                </a:extLst>
              </xdr:cNvPr>
              <xdr:cNvGraphicFramePr/>
            </xdr:nvGraphicFramePr>
            <xdr:xfrm>
              <a:off x="15000330" y="5299487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5000330" y="5299487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91ABA08-58C3-43D0-8FB2-3640A4041ED1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E4FCDDC4-7567-3B94-8A49-4CE8903ACE48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A789F6F4-2134-FC7F-E053-7DC26328A34E}"/>
                  </a:ext>
                </a:extLst>
              </xdr:cNvPr>
              <xdr:cNvGraphicFramePr/>
            </xdr:nvGraphicFramePr>
            <xdr:xfrm>
              <a:off x="9341070" y="672545"/>
              <a:ext cx="4236182" cy="2321146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41070" y="672545"/>
                <a:ext cx="4236182" cy="232114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E2DEA15C-A8AF-4D32-830E-43A88827C9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12E61BF0-5071-4FB1-BDAF-FC8B48B0111A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67A87A19-D4A6-764D-AD8C-A4B87E084FEE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67760F89-7BBD-0E57-A18B-EC4C064CDF00}"/>
                  </a:ext>
                </a:extLst>
              </xdr:cNvPr>
              <xdr:cNvGraphicFramePr/>
            </xdr:nvGraphicFramePr>
            <xdr:xfrm>
              <a:off x="15000331" y="5299486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5000331" y="5299486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B2BDFAE-3A9A-42F8-9E50-932227857B6C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67297558-7B91-8C1E-9527-E4D2DFDE84D0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A18FA23F-695B-E7DF-E03F-C572DE84A589}"/>
                  </a:ext>
                </a:extLst>
              </xdr:cNvPr>
              <xdr:cNvGraphicFramePr/>
            </xdr:nvGraphicFramePr>
            <xdr:xfrm>
              <a:off x="9330009" y="672545"/>
              <a:ext cx="4236182" cy="229935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30009" y="672545"/>
                <a:ext cx="4236182" cy="22993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1F317B05-33CA-4A36-9245-4F111A0DD7E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6AE01072-043C-4B66-B39E-F516E28057A8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6E597927-AB92-27D4-E6EC-A2A8DEC67C19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5265946E-A389-52ED-C5BF-B419CD2443E4}"/>
                  </a:ext>
                </a:extLst>
              </xdr:cNvPr>
              <xdr:cNvGraphicFramePr/>
            </xdr:nvGraphicFramePr>
            <xdr:xfrm>
              <a:off x="14987973" y="5287430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4987973" y="5287430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214310</xdr:colOff>
      <xdr:row>2</xdr:row>
      <xdr:rowOff>154327</xdr:rowOff>
    </xdr:from>
    <xdr:to>
      <xdr:col>13</xdr:col>
      <xdr:colOff>599618</xdr:colOff>
      <xdr:row>19</xdr:row>
      <xdr:rowOff>119063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E020188-E5A2-45F9-B08E-5634C8D75BDC}"/>
            </a:ext>
          </a:extLst>
        </xdr:cNvPr>
        <xdr:cNvGrpSpPr/>
      </xdr:nvGrpSpPr>
      <xdr:grpSpPr>
        <a:xfrm>
          <a:off x="8477248" y="535327"/>
          <a:ext cx="4921589" cy="3203236"/>
          <a:chOff x="9086677" y="519566"/>
          <a:chExt cx="4572000" cy="2931814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00B007F9-04A7-4400-F455-5D4A73A379A1}"/>
              </a:ext>
            </a:extLst>
          </xdr:cNvPr>
          <xdr:cNvGraphicFramePr/>
        </xdr:nvGraphicFramePr>
        <xdr:xfrm>
          <a:off x="9086677" y="519566"/>
          <a:ext cx="4572000" cy="29318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F645266E-5BD0-BC9E-8F4C-A877E929CF41}"/>
                  </a:ext>
                </a:extLst>
              </xdr:cNvPr>
              <xdr:cNvGraphicFramePr/>
            </xdr:nvGraphicFramePr>
            <xdr:xfrm>
              <a:off x="9330010" y="650751"/>
              <a:ext cx="4236182" cy="233204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330010" y="650751"/>
                <a:ext cx="4236182" cy="233204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20</xdr:col>
      <xdr:colOff>393953</xdr:colOff>
      <xdr:row>3</xdr:row>
      <xdr:rowOff>91149</xdr:rowOff>
    </xdr:from>
    <xdr:to>
      <xdr:col>22</xdr:col>
      <xdr:colOff>374239</xdr:colOff>
      <xdr:row>17</xdr:row>
      <xdr:rowOff>69168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965B2448-5EFB-4978-9888-76F6E815DF4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520028" y="662649"/>
              <a:ext cx="1504286" cy="264501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14</xdr:col>
      <xdr:colOff>95251</xdr:colOff>
      <xdr:row>2</xdr:row>
      <xdr:rowOff>119062</xdr:rowOff>
    </xdr:from>
    <xdr:to>
      <xdr:col>19</xdr:col>
      <xdr:colOff>690563</xdr:colOff>
      <xdr:row>17</xdr:row>
      <xdr:rowOff>83344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CAA219C9-3857-4A41-B839-99BF9D45704B}"/>
            </a:ext>
          </a:extLst>
        </xdr:cNvPr>
        <xdr:cNvGrpSpPr/>
      </xdr:nvGrpSpPr>
      <xdr:grpSpPr>
        <a:xfrm>
          <a:off x="13656470" y="500062"/>
          <a:ext cx="4405312" cy="2821782"/>
          <a:chOff x="14716126" y="5203031"/>
          <a:chExt cx="4572000" cy="2857500"/>
        </a:xfrm>
      </xdr:grpSpPr>
      <xdr:graphicFrame macro="">
        <xdr:nvGraphicFramePr>
          <xdr:cNvPr id="7" name="Gráfico 6">
            <a:extLst>
              <a:ext uri="{FF2B5EF4-FFF2-40B4-BE49-F238E27FC236}">
                <a16:creationId xmlns:a16="http://schemas.microsoft.com/office/drawing/2014/main" id="{C035A8CF-F04F-77DF-860F-B825A70DACED}"/>
              </a:ext>
            </a:extLst>
          </xdr:cNvPr>
          <xdr:cNvGraphicFramePr/>
        </xdr:nvGraphicFramePr>
        <xdr:xfrm>
          <a:off x="14716126" y="5203031"/>
          <a:ext cx="4572000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8" name="Gráfico 7">
                <a:extLst>
                  <a:ext uri="{FF2B5EF4-FFF2-40B4-BE49-F238E27FC236}">
                    <a16:creationId xmlns:a16="http://schemas.microsoft.com/office/drawing/2014/main" id="{02D87B69-7E56-7781-BED1-C98D01132F04}"/>
                  </a:ext>
                </a:extLst>
              </xdr:cNvPr>
              <xdr:cNvGraphicFramePr/>
            </xdr:nvGraphicFramePr>
            <xdr:xfrm>
              <a:off x="15000330" y="5299487"/>
              <a:ext cx="4240620" cy="2531963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5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5000330" y="5299487"/>
                <a:ext cx="4240620" cy="2531963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447680</xdr:colOff>
      <xdr:row>2</xdr:row>
      <xdr:rowOff>61912</xdr:rowOff>
    </xdr:from>
    <xdr:to>
      <xdr:col>13</xdr:col>
      <xdr:colOff>447683</xdr:colOff>
      <xdr:row>16</xdr:row>
      <xdr:rowOff>22679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5DE35BC-0095-4084-AF5B-3F911C0886C0}"/>
            </a:ext>
          </a:extLst>
        </xdr:cNvPr>
        <xdr:cNvGrpSpPr/>
      </xdr:nvGrpSpPr>
      <xdr:grpSpPr>
        <a:xfrm>
          <a:off x="9006573" y="470126"/>
          <a:ext cx="4572003" cy="2818267"/>
          <a:chOff x="8998194" y="486874"/>
          <a:chExt cx="4572000" cy="4249982"/>
        </a:xfrm>
      </xdr:grpSpPr>
      <xdr:graphicFrame macro="">
        <xdr:nvGraphicFramePr>
          <xdr:cNvPr id="3" name="Gráfico 2">
            <a:extLst>
              <a:ext uri="{FF2B5EF4-FFF2-40B4-BE49-F238E27FC236}">
                <a16:creationId xmlns:a16="http://schemas.microsoft.com/office/drawing/2014/main" id="{1A9FCCBC-7111-F29E-62D6-6B4B9FBBAC89}"/>
              </a:ext>
            </a:extLst>
          </xdr:cNvPr>
          <xdr:cNvGraphicFramePr/>
        </xdr:nvGraphicFramePr>
        <xdr:xfrm>
          <a:off x="8998194" y="486874"/>
          <a:ext cx="4572000" cy="42499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Gráfico 3">
                <a:extLst>
                  <a:ext uri="{FF2B5EF4-FFF2-40B4-BE49-F238E27FC236}">
                    <a16:creationId xmlns:a16="http://schemas.microsoft.com/office/drawing/2014/main" id="{34A55022-C8D2-30AC-8EAA-ECF66EF4F4F6}"/>
                  </a:ext>
                </a:extLst>
              </xdr:cNvPr>
              <xdr:cNvGraphicFramePr/>
            </xdr:nvGraphicFramePr>
            <xdr:xfrm>
              <a:off x="9267155" y="655717"/>
              <a:ext cx="4217961" cy="3191950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2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9267155" y="655717"/>
                <a:ext cx="4217961" cy="31919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s-CO" sz="1100"/>
                  <a:t>Este gráfico no está disponible en tu versión de Excel.
Si editas esta forma o guardas el libro en un formato de archivo diferente, el gráfico no se podrá utilizar.</a:t>
                </a:r>
              </a:p>
            </xdr:txBody>
          </xdr:sp>
        </mc:Fallback>
      </mc:AlternateContent>
    </xdr:grpSp>
    <xdr:clientData/>
  </xdr:twoCellAnchor>
  <xdr:twoCellAnchor>
    <xdr:from>
      <xdr:col>5</xdr:col>
      <xdr:colOff>25993</xdr:colOff>
      <xdr:row>25</xdr:row>
      <xdr:rowOff>55998</xdr:rowOff>
    </xdr:from>
    <xdr:to>
      <xdr:col>7</xdr:col>
      <xdr:colOff>6280</xdr:colOff>
      <xdr:row>36</xdr:row>
      <xdr:rowOff>34018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9A67D665-0A64-48D7-8AE1-28E92B18204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055443" y="5056623"/>
              <a:ext cx="1504287" cy="21782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7</xdr:col>
      <xdr:colOff>34017</xdr:colOff>
      <xdr:row>25</xdr:row>
      <xdr:rowOff>34017</xdr:rowOff>
    </xdr:from>
    <xdr:to>
      <xdr:col>9</xdr:col>
      <xdr:colOff>147410</xdr:colOff>
      <xdr:row>35</xdr:row>
      <xdr:rowOff>192767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0E8DB26C-872D-4CA0-8B3E-BB5E8E34F2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587467" y="5034642"/>
              <a:ext cx="1637393" cy="2159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9</xdr:col>
      <xdr:colOff>430893</xdr:colOff>
      <xdr:row>25</xdr:row>
      <xdr:rowOff>90714</xdr:rowOff>
    </xdr:from>
    <xdr:to>
      <xdr:col>11</xdr:col>
      <xdr:colOff>406122</xdr:colOff>
      <xdr:row>36</xdr:row>
      <xdr:rowOff>109555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áfico 6">
              <a:extLst>
                <a:ext uri="{FF2B5EF4-FFF2-40B4-BE49-F238E27FC236}">
                  <a16:creationId xmlns:a16="http://schemas.microsoft.com/office/drawing/2014/main" id="{6C51BF51-F27C-4213-92F2-D78EF84877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08343" y="5091339"/>
              <a:ext cx="1499229" cy="22191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tu versión de Excel.
Si editas esta forma o guardas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BORATORIO_CENSA" refreshedDate="45867.355799884259" createdVersion="8" refreshedVersion="8" minRefreshableVersion="3" recordCount="366" xr:uid="{46F6BE78-2224-4337-8EB3-18947FF6D615}">
  <cacheSource type="worksheet">
    <worksheetSource ref="A1:Y367" sheet="Resultados historicos"/>
  </cacheSource>
  <cacheFields count="25">
    <cacheField name="Año" numFmtId="0">
      <sharedItems containsSemiMixedTypes="0" containsString="0" containsNumber="1" containsInteger="1" minValue="2019" maxValue="2024" count="6">
        <n v="2020"/>
        <n v="2021"/>
        <n v="2019"/>
        <n v="2022"/>
        <n v="2023"/>
        <n v="2024"/>
      </sharedItems>
    </cacheField>
    <cacheField name="Codigo interno" numFmtId="0">
      <sharedItems/>
    </cacheField>
    <cacheField name="Orden Fuente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Nombre de la fuente hidrica y Estacion" numFmtId="0">
      <sharedItems/>
    </cacheField>
    <cacheField name="Código de estación" numFmtId="0">
      <sharedItems/>
    </cacheField>
    <cacheField name="Municipio" numFmtId="0">
      <sharedItems/>
    </cacheField>
    <cacheField name="Referente Normativo y tiempo" numFmtId="0">
      <sharedItems/>
    </cacheField>
    <cacheField name="Fuente superficial" numFmtId="0">
      <sharedItems count="5">
        <s v="Rio Negro"/>
        <s v="Quebrada La Marinilla"/>
        <s v="Quebrada La Mosca"/>
        <s v="Quebrada La Cimarrona"/>
        <s v="Rio Pantanillo" u="1"/>
      </sharedItems>
    </cacheField>
    <cacheField name="Latitud" numFmtId="0">
      <sharedItems/>
    </cacheField>
    <cacheField name="Longitud" numFmtId="0">
      <sharedItems/>
    </cacheField>
    <cacheField name="Fecha de toma (AAAA-MM-DD)" numFmtId="164">
      <sharedItems containsSemiMixedTypes="0" containsNonDate="0" containsDate="1" containsString="0" minDate="2019-11-25T00:00:00" maxDate="2024-12-04T00:00:00"/>
    </cacheField>
    <cacheField name="Mes" numFmtId="14">
      <sharedItems/>
    </cacheField>
    <cacheField name="Tiempo" numFmtId="0">
      <sharedItems count="2">
        <s v="Lluvias"/>
        <s v="Seco"/>
      </sharedItems>
    </cacheField>
    <cacheField name="N" numFmtId="0">
      <sharedItems containsString="0" containsBlank="1" containsNumber="1" containsInteger="1" minValue="1" maxValue="319"/>
    </cacheField>
    <cacheField name="Color real λ=436 nm (m⁻¹)" numFmtId="0">
      <sharedItems containsSemiMixedTypes="0" containsString="0" containsNumber="1" minValue="0.08" maxValue="4.3"/>
    </cacheField>
    <cacheField name="Color real λ=525 nm (m⁻¹)" numFmtId="0">
      <sharedItems containsSemiMixedTypes="0" containsString="0" containsNumber="1" minValue="0.04" maxValue="3.37"/>
    </cacheField>
    <cacheField name="Color real λ=620 nm (m⁻¹)" numFmtId="0">
      <sharedItems containsSemiMixedTypes="0" containsString="0" containsNumber="1" minValue="0.02" maxValue="1.76"/>
    </cacheField>
    <cacheField name="DBO₅ (mg/L O₂)" numFmtId="0">
      <sharedItems containsMixedTypes="1" containsNumber="1" minValue="0" maxValue="68.3"/>
    </cacheField>
    <cacheField name="DQO (mg/L O₂)" numFmtId="0">
      <sharedItems containsSemiMixedTypes="0" containsString="0" containsNumber="1" minValue="0" maxValue="156.6"/>
    </cacheField>
    <cacheField name="Oxígeno disuelto (mg/L)" numFmtId="0">
      <sharedItems containsSemiMixedTypes="0" containsString="0" containsNumber="1" minValue="0.17499999999999999" maxValue="8.0399999999999991"/>
    </cacheField>
    <cacheField name="Saturación Ox %" numFmtId="0">
      <sharedItems containsSemiMixedTypes="0" containsString="0" containsNumber="1" minValue="2.4000000000000004" maxValue="179.7"/>
    </cacheField>
    <cacheField name="Temperatura (°C)" numFmtId="0">
      <sharedItems containsSemiMixedTypes="0" containsString="0" containsNumber="1" minValue="14" maxValue="187"/>
    </cacheField>
    <cacheField name="pH (U. de pH)" numFmtId="0">
      <sharedItems containsSemiMixedTypes="0" containsString="0" containsNumber="1" minValue="6.18" maxValue="7.8"/>
    </cacheField>
    <cacheField name="Conductividad (us/cm)" numFmtId="0">
      <sharedItems containsMixedTypes="1" containsNumber="1" minValue="26.6" maxValue="537.5"/>
    </cacheField>
    <cacheField name="Caudal (L/s)" numFmtId="0">
      <sharedItems containsMixedTypes="1" containsNumber="1" minValue="41.9" maxValue="103705.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6">
  <r>
    <x v="0"/>
    <s v=" 2020-08-1106 "/>
    <x v="0"/>
    <s v="ESTACION EL HIERBAL"/>
    <s v="LOT-061-RET-300-PANTANILLO"/>
    <s v="El Retiro"/>
    <s v="R. 112-5304-2016 - Río Negro - Tramo: 2 - Río Negro"/>
    <x v="0"/>
    <s v="06°04'50,05&quot;"/>
    <s v="75°29'46,80&quot;"/>
    <d v="2020-08-24T00:00:00"/>
    <s v="ago"/>
    <x v="0"/>
    <n v="207"/>
    <n v="1.2"/>
    <n v="0.4"/>
    <n v="0.1"/>
    <n v="2.5"/>
    <n v="29.1"/>
    <n v="7.41"/>
    <n v="93.9"/>
    <n v="14.6"/>
    <n v="6.69"/>
    <n v="37.200000000000003"/>
    <n v="3200"/>
  </r>
  <r>
    <x v="0"/>
    <s v=" 2020-11-1861 "/>
    <x v="0"/>
    <s v="ESTACION EL HIERBAL"/>
    <s v="LOT-061-RET-300-PANTANILLO"/>
    <s v="El Retiro"/>
    <s v="R. 112-5304-2016 - Río Negro - Tramo: 2 - Río Negro"/>
    <x v="0"/>
    <s v="06°04'50,05&quot;"/>
    <s v="75°29'46,80&quot;"/>
    <d v="2020-11-23T00:00:00"/>
    <s v="nov"/>
    <x v="0"/>
    <n v="228"/>
    <n v="0.9"/>
    <n v="0.4"/>
    <n v="0.3"/>
    <n v="1.6"/>
    <n v="10"/>
    <n v="7.67"/>
    <n v="99.1"/>
    <n v="15.6"/>
    <n v="6.63"/>
    <n v="32.5"/>
    <n v="7350"/>
  </r>
  <r>
    <x v="1"/>
    <s v=" 2021-07-1202 "/>
    <x v="0"/>
    <s v="ESTACION EL HIERBAL"/>
    <s v="LOT-061-RET-300-PANTANILLO"/>
    <s v="El Retiro"/>
    <s v="R. 112-5304-2016 - Río Negro - Tramo: 2 - Río Negro"/>
    <x v="0"/>
    <s v="06°04'50,05&quot;"/>
    <s v="75°29'46,80&quot;"/>
    <d v="2021-07-12T00:00:00"/>
    <s v="jul"/>
    <x v="0"/>
    <n v="297"/>
    <n v="0.7"/>
    <n v="0.3"/>
    <n v="0.2"/>
    <n v="5.5"/>
    <n v="10"/>
    <n v="7.38"/>
    <n v="95.6"/>
    <n v="15"/>
    <n v="6.66"/>
    <n v="37.6"/>
    <n v="2832.56"/>
  </r>
  <r>
    <x v="0"/>
    <s v=" 2020-08-1121 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0-08-25T00:00:00"/>
    <s v="ago"/>
    <x v="0"/>
    <n v="220"/>
    <n v="0.9"/>
    <n v="0.2"/>
    <n v="0.1"/>
    <n v="1.1000000000000001"/>
    <n v="16.600000000000001"/>
    <n v="6.27"/>
    <n v="86.9"/>
    <n v="18.7"/>
    <n v="7.19"/>
    <n v="80.5"/>
    <n v="3920"/>
  </r>
  <r>
    <x v="2"/>
    <s v="2019-11-2790"/>
    <x v="0"/>
    <s v="ESTACION EL HIERBAL"/>
    <s v="LOT-061-RET-300-PANTANILLO"/>
    <s v="El Retiro"/>
    <s v="R. 112-5304-2016 - Río Negro - Tramo: 2 - Río Negro"/>
    <x v="0"/>
    <s v="06°04'50,05&quot;"/>
    <s v="75°29'46,80&quot;"/>
    <d v="2019-11-26T00:00:00"/>
    <s v="nov"/>
    <x v="0"/>
    <n v="161"/>
    <n v="0.3"/>
    <n v="0.1"/>
    <n v="0.1"/>
    <n v="2.1"/>
    <n v="10"/>
    <n v="7.35"/>
    <n v="96.2"/>
    <n v="16.2"/>
    <n v="7.72"/>
    <n v="31.6"/>
    <n v="10163.290000000001"/>
  </r>
  <r>
    <x v="0"/>
    <s v="2020-02-0244"/>
    <x v="0"/>
    <s v="ESTACION EL HIERBAL"/>
    <s v="LOT-061-RET-300-PANTANILLO"/>
    <s v="El Retiro"/>
    <s v="R. 112-5304-2016 - Río Negro - Tramo: 2 - Río Negro"/>
    <x v="0"/>
    <s v="06°04'50,05&quot;"/>
    <s v="75°29'46,80&quot;"/>
    <d v="2020-02-25T00:00:00"/>
    <s v="feb"/>
    <x v="1"/>
    <n v="184"/>
    <n v="0.8"/>
    <n v="0.3"/>
    <n v="0.2"/>
    <n v="6.9"/>
    <n v="111.2"/>
    <n v="7.33"/>
    <n v="98.4"/>
    <n v="17.2"/>
    <n v="7.34"/>
    <n v="45.9"/>
    <n v="1565.49"/>
  </r>
  <r>
    <x v="1"/>
    <s v="2021-02-188"/>
    <x v="0"/>
    <s v="ESTACION EL HIERBAL"/>
    <s v="LOT-061-RET-300-PANTANILLO"/>
    <s v="El Retiro"/>
    <s v="R. 112-5304-2016 - Río Negro - Tramo: 2 - Río Negro"/>
    <x v="0"/>
    <s v="06°04'50,05&quot;"/>
    <s v="75°29'46,80&quot;"/>
    <d v="2021-02-01T00:00:00"/>
    <s v="feb"/>
    <x v="1"/>
    <n v="251"/>
    <n v="0.6"/>
    <n v="0.26"/>
    <n v="0.18"/>
    <n v="1.9"/>
    <n v="10"/>
    <n v="7.4"/>
    <n v="96.9"/>
    <n v="15.9"/>
    <n v="6.97"/>
    <n v="59.5"/>
    <n v="2963.78"/>
  </r>
  <r>
    <x v="1"/>
    <s v="2021-11-2215"/>
    <x v="0"/>
    <s v="ESTACION EL HIERBAL"/>
    <s v="LOT-061-RET-300-PANTANILLO"/>
    <s v="El Retiro"/>
    <s v="R. 112-5304-2016 - Río Negro - Tramo: 2 - Río Negro"/>
    <x v="0"/>
    <s v="06°04'50,05&quot;"/>
    <s v="75°29'46,80&quot;"/>
    <d v="2021-11-29T00:00:00"/>
    <s v="nov"/>
    <x v="0"/>
    <n v="274"/>
    <n v="0.7"/>
    <n v="0.3"/>
    <n v="0.2"/>
    <n v="0.2"/>
    <n v="3.9"/>
    <n v="7.32"/>
    <n v="96.5"/>
    <n v="16.100000000000001"/>
    <n v="6.89"/>
    <n v="26.6"/>
    <n v="1875.17"/>
  </r>
  <r>
    <x v="3"/>
    <s v="2022-02-0213"/>
    <x v="0"/>
    <s v="ESTACION EL HIERBAL"/>
    <s v="LOT-061-RET-300-PANTANILLO"/>
    <s v="El Retiro"/>
    <s v="R. 112-5304-2016 - Río Negro - Tramo: 2 - Río Negro"/>
    <x v="0"/>
    <s v="06°04'50,05&quot;"/>
    <s v="75°29'46,80&quot;"/>
    <d v="2022-02-22T00:00:00"/>
    <s v="feb"/>
    <x v="1"/>
    <n v="131"/>
    <n v="1.3"/>
    <n v="0.4"/>
    <n v="0.2"/>
    <n v="2"/>
    <n v="10.6"/>
    <n v="7.8550000000000004"/>
    <n v="98.7"/>
    <n v="14"/>
    <n v="6.84"/>
    <n v="28.7"/>
    <n v="3017.3"/>
  </r>
  <r>
    <x v="3"/>
    <s v="2022-06-0901"/>
    <x v="0"/>
    <s v="ESTACION EL HIERBAL"/>
    <s v="LOT-061-RET-300-PANTANILLO"/>
    <s v="El Retiro"/>
    <s v="R. 112-5304-2016 - Río Negro - Tramo: 2 - Río Negro"/>
    <x v="0"/>
    <s v="06°04'50,05&quot;"/>
    <s v="75°29'46,80&quot;"/>
    <d v="2022-06-08T00:00:00"/>
    <s v="jun"/>
    <x v="0"/>
    <n v="141"/>
    <n v="0.8"/>
    <n v="0.3"/>
    <n v="0.2"/>
    <n v="4.9000000000000004"/>
    <n v="15.4"/>
    <n v="7.5350000000000001"/>
    <n v="98.3"/>
    <n v="15.6"/>
    <n v="7.2050000000000001"/>
    <n v="57.55"/>
    <n v="6912"/>
  </r>
  <r>
    <x v="0"/>
    <s v=" 2020-11-1884 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0-11-24T00:00:00"/>
    <s v="nov"/>
    <x v="0"/>
    <n v="243"/>
    <n v="0.7"/>
    <n v="0.3"/>
    <n v="0.1"/>
    <n v="1.7"/>
    <n v="13.4"/>
    <n v="6.11"/>
    <n v="87.7"/>
    <n v="20"/>
    <n v="7.18"/>
    <n v="91.9"/>
    <n v="3050"/>
  </r>
  <r>
    <x v="1"/>
    <s v=" 2021-07-1191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1-07-12T00:00:00"/>
    <s v="jul"/>
    <x v="0"/>
    <n v="311"/>
    <n v="0.6"/>
    <n v="0.2"/>
    <n v="0.1"/>
    <n v="12"/>
    <n v="17.7"/>
    <n v="6.11"/>
    <n v="88.5"/>
    <n v="20.9"/>
    <n v="6.99"/>
    <n v="100.7"/>
    <n v="5524.21"/>
  </r>
  <r>
    <x v="1"/>
    <s v=" 2021-07-1192 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1-07-12T00:00:00"/>
    <s v="jul"/>
    <x v="0"/>
    <n v="312"/>
    <n v="0.8"/>
    <n v="0.4"/>
    <n v="0.2"/>
    <n v="6.3"/>
    <n v="13"/>
    <n v="6.06"/>
    <n v="87.7"/>
    <n v="21.9"/>
    <n v="7.02"/>
    <n v="97.1"/>
    <n v="1414.98"/>
  </r>
  <r>
    <x v="1"/>
    <s v=" 2021-07-1193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1-07-12T00:00:00"/>
    <s v="jul"/>
    <x v="0"/>
    <n v="313"/>
    <n v="0.6"/>
    <n v="0.2"/>
    <n v="0.2"/>
    <n v="9.6"/>
    <n v="18.8"/>
    <n v="6.04"/>
    <n v="88.1"/>
    <n v="21.5"/>
    <n v="7.06"/>
    <n v="98.8"/>
    <n v="3735.21"/>
  </r>
  <r>
    <x v="1"/>
    <s v=" 2021-07-1194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1-07-12T00:00:00"/>
    <s v="jul"/>
    <x v="0"/>
    <n v="314"/>
    <n v="1.5"/>
    <n v="0.9"/>
    <n v="0.6"/>
    <n v="18.399999999999999"/>
    <n v="37.4"/>
    <n v="4.4000000000000004"/>
    <n v="63.1"/>
    <n v="20.9"/>
    <n v="7"/>
    <n v="125.2"/>
    <n v="2401.27"/>
  </r>
  <r>
    <x v="3"/>
    <s v="2022-11-2181"/>
    <x v="0"/>
    <s v="ESTACION EL HIERBAL"/>
    <s v="LOT-061-RET-300-PANTANILLO"/>
    <s v="El Retiro"/>
    <s v="R. 112-5304-2016 - Río Negro - Tramo: 2 - Río Negro"/>
    <x v="0"/>
    <s v="06°04'50,05&quot;"/>
    <s v="75°29'46,80&quot;"/>
    <d v="2022-11-23T00:00:00"/>
    <s v="nov"/>
    <x v="0"/>
    <n v="151"/>
    <n v="0.5"/>
    <n v="0.18"/>
    <n v="0.06"/>
    <n v="3.6"/>
    <n v="23.9"/>
    <n v="7.9"/>
    <n v="102.1"/>
    <n v="15.3"/>
    <n v="6.9249999999999998"/>
    <n v="29.65"/>
    <n v="5068.6000000000004"/>
  </r>
  <r>
    <x v="4"/>
    <s v="2023-02-0220"/>
    <x v="0"/>
    <s v="ESTACION EL HIERBAL"/>
    <s v="LOT-061-RET-300-PANTANILLO"/>
    <s v="El Retiro"/>
    <s v="R. 112-5304-2016 - Río Negro - Tramo: 2 - Río Negro"/>
    <x v="0"/>
    <s v="06°04'50,05&quot;"/>
    <s v="75°29'46,80&quot;"/>
    <d v="2023-02-28T00:00:00"/>
    <s v="feb"/>
    <x v="1"/>
    <n v="101"/>
    <n v="0.42"/>
    <n v="0.16"/>
    <n v="0.08"/>
    <n v="6.7"/>
    <n v="68.099999999999994"/>
    <n v="7.3150000000000004"/>
    <n v="95.15"/>
    <n v="15.6"/>
    <n v="6.36"/>
    <n v="37.049999999999997"/>
    <n v="3455.5"/>
  </r>
  <r>
    <x v="4"/>
    <s v="2023-05-0705"/>
    <x v="0"/>
    <s v="ESTACION EL HIERBAL"/>
    <s v="LOT-061-RET-300-PANTANILLO"/>
    <s v="El Retiro"/>
    <s v="R. 112-5304-2016 - Río Negro - Tramo: 2 - Río Negro"/>
    <x v="0"/>
    <s v="06°04'50,05&quot;"/>
    <s v="75°29'46,80&quot;"/>
    <d v="2023-05-10T00:00:00"/>
    <s v="may"/>
    <x v="0"/>
    <n v="111"/>
    <n v="0.32"/>
    <n v="0.1"/>
    <n v="0.04"/>
    <n v="3.1"/>
    <n v="5.7"/>
    <n v="7.2249999999999996"/>
    <n v="95.05"/>
    <n v="16"/>
    <n v="6.7850000000000001"/>
    <n v="39.6"/>
    <n v="3357.9"/>
  </r>
  <r>
    <x v="4"/>
    <s v="2023-11-2332"/>
    <x v="0"/>
    <s v="ESTACION EL HIERBAL"/>
    <s v="LOT-061-RET-300-PANTANILLO"/>
    <s v="El Retiro"/>
    <s v="R. 112-5304-2016 - Río Negro - Tramo: 2 - Río Negro"/>
    <x v="0"/>
    <s v="06°04'50,05&quot;"/>
    <s v="75°29'46,80&quot;"/>
    <d v="2023-11-22T00:00:00"/>
    <s v="nov"/>
    <x v="0"/>
    <n v="123"/>
    <n v="0.48"/>
    <n v="0.18"/>
    <n v="0.08"/>
    <n v="2.1"/>
    <n v="11.1"/>
    <n v="7.56"/>
    <n v="98.65"/>
    <n v="15.9"/>
    <n v="6.1849999999999996"/>
    <n v="33.5"/>
    <n v="4975.7"/>
  </r>
  <r>
    <x v="5"/>
    <s v="2024-02-0183"/>
    <x v="0"/>
    <s v="ESTACION EL HIERBAL"/>
    <s v="LOT-061-RET-300-PANTANILLO"/>
    <s v="El Retiro"/>
    <s v="R. 112-5304-2016 - Río Negro - Tramo: 2 - Río Negro"/>
    <x v="0"/>
    <s v="06°04'50,05&quot;"/>
    <s v="75°29'46,80&quot;"/>
    <d v="2024-02-27T00:00:00"/>
    <s v="feb"/>
    <x v="1"/>
    <m/>
    <n v="1.1000000000000001"/>
    <n v="0.54"/>
    <n v="0.3"/>
    <n v="2.2999999999999998"/>
    <n v="9.3000000000000007"/>
    <n v="7.5049999999999999"/>
    <n v="98.25"/>
    <n v="16.100000000000001"/>
    <n v="7.125"/>
    <n v="45.8"/>
    <s v="N.D."/>
  </r>
  <r>
    <x v="5"/>
    <s v="2024-06-0837"/>
    <x v="0"/>
    <s v="ESTACION EL HIERBAL"/>
    <s v="LOT-061-RET-300-PANTANILLO"/>
    <s v="El Retiro"/>
    <s v="R. 112-5304-2016 - Río Negro - Tramo: 2 - Río Negro"/>
    <x v="0"/>
    <s v="06°04'50,05&quot;"/>
    <s v="75°29'46,80&quot;"/>
    <d v="2024-06-18T00:00:00"/>
    <s v="jun"/>
    <x v="0"/>
    <m/>
    <n v="0.84"/>
    <n v="0.34"/>
    <n v="0.18"/>
    <n v="1.1000000000000001"/>
    <n v="18.600000000000001"/>
    <n v="7.6099999999999994"/>
    <n v="98.85"/>
    <n v="16"/>
    <n v="7.1"/>
    <n v="34.650000000000006"/>
    <s v="N.D."/>
  </r>
  <r>
    <x v="5"/>
    <s v="2024-11-1985"/>
    <x v="0"/>
    <s v="ESTACION EL HIERBAL"/>
    <s v="LOT-061-RET-300-PANTANILLO"/>
    <s v="El Retiro"/>
    <s v="R. 112-5304-2016 - Río Negro - Tramo: 2 - Río Negro"/>
    <x v="0"/>
    <s v="06°04'50,05&quot;"/>
    <s v="75°29'46,80&quot;"/>
    <d v="2024-11-26T00:00:00"/>
    <s v="nov"/>
    <x v="0"/>
    <m/>
    <n v="0.56000000000000005"/>
    <n v="0.32"/>
    <n v="0.2"/>
    <n v="0.7"/>
    <n v="12.32"/>
    <n v="7.7350000000000003"/>
    <n v="100.19999999999999"/>
    <n v="15.5"/>
    <n v="7.33"/>
    <n v="32.950000000000003"/>
    <s v="N.D."/>
  </r>
  <r>
    <x v="1"/>
    <s v=" 2021-07-1203"/>
    <x v="1"/>
    <s v="ESTACION MONTENEVADO"/>
    <s v="LOT-199-RIO-100-RIO_NEGRO"/>
    <s v="Rionegro"/>
    <s v="R. 112-5304-2016 - Río Negro - Tramo: 3 - Río Negro"/>
    <x v="0"/>
    <s v="06°05'42,34&quot;"/>
    <s v="75°28'32,82&quot;"/>
    <d v="2021-07-12T00:00:00"/>
    <s v="jul"/>
    <x v="0"/>
    <n v="298"/>
    <n v="0.4"/>
    <n v="0.1"/>
    <n v="0.1"/>
    <n v="4.4000000000000004"/>
    <n v="2.8"/>
    <n v="7.49"/>
    <n v="97.5"/>
    <n v="15.6"/>
    <n v="6.76"/>
    <n v="43.6"/>
    <n v="2189.39"/>
  </r>
  <r>
    <x v="1"/>
    <s v=" 2021-07-1217"/>
    <x v="3"/>
    <s v="ROMERAL"/>
    <s v="LOT-085-GUA-100-LA_MOSCA"/>
    <s v="Guarne"/>
    <s v="R. 112-5304-2016 - Río Negro - Tramo: 12 - Quebrada La Mosca"/>
    <x v="2"/>
    <s v="06°18'32,19&quot;"/>
    <s v="75°27'33,70&quot;"/>
    <d v="2021-07-13T00:00:00"/>
    <s v="jul"/>
    <x v="0"/>
    <n v="315"/>
    <n v="0.5"/>
    <n v="0.2"/>
    <n v="0.2"/>
    <n v="3.6"/>
    <n v="10"/>
    <n v="7.59"/>
    <n v="101.9"/>
    <n v="16.8"/>
    <n v="7.54"/>
    <n v="66.099999999999994"/>
    <n v="229.63"/>
  </r>
  <r>
    <x v="1"/>
    <s v=" 2021-07-1218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1-07-13T00:00:00"/>
    <s v="jul"/>
    <x v="0"/>
    <n v="316"/>
    <n v="0.6"/>
    <n v="0.3"/>
    <n v="0.2"/>
    <n v="3.8"/>
    <n v="10"/>
    <n v="7.61"/>
    <n v="101.9"/>
    <n v="17.100000000000001"/>
    <n v="7.34"/>
    <n v="68"/>
    <n v="498.52"/>
  </r>
  <r>
    <x v="1"/>
    <s v=" 2021-07-1219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1-07-13T00:00:00"/>
    <s v="jul"/>
    <x v="0"/>
    <n v="317"/>
    <n v="0.4"/>
    <n v="0.2"/>
    <n v="0.1"/>
    <n v="16.600000000000001"/>
    <n v="32.700000000000003"/>
    <n v="5.19"/>
    <n v="72.3"/>
    <n v="19.100000000000001"/>
    <n v="7.24"/>
    <n v="160.80000000000001"/>
    <n v="1397.07"/>
  </r>
  <r>
    <x v="1"/>
    <s v=" 2021-07-1220"/>
    <x v="3"/>
    <s v="OMYA"/>
    <s v="LOT-088-GUA-400-LA_MOSCA"/>
    <s v="Guarne"/>
    <s v="R. 112-5304-2016 - Río Negro - Tramo: 13 - Quebrada La Mosca"/>
    <x v="2"/>
    <s v="06°13'34,97&quot;"/>
    <s v="75°24'07,65&quot;"/>
    <d v="2021-07-13T00:00:00"/>
    <s v="jul"/>
    <x v="0"/>
    <n v="318"/>
    <n v="0.4"/>
    <n v="0.2"/>
    <n v="0.1"/>
    <n v="5.5"/>
    <n v="11.6"/>
    <n v="5.73"/>
    <n v="78.2"/>
    <n v="17.899999999999999"/>
    <n v="6.84"/>
    <n v="104.3"/>
    <n v="2051.1799999999998"/>
  </r>
  <r>
    <x v="1"/>
    <s v=" 2021-07-1221"/>
    <x v="4"/>
    <s v="ESTACION RIOTEX"/>
    <s v="LOT-179-RIO-500-LA_MOSCA"/>
    <s v="Rionegro"/>
    <s v="R. 112-5304-2016 - Río Negro - Tramo: 13 - Quebrada La Mosca"/>
    <x v="2"/>
    <s v="06°10'51,60&quot;"/>
    <s v="75°22'00,15&quot;"/>
    <d v="2021-07-13T00:00:00"/>
    <s v="jul"/>
    <x v="0"/>
    <n v="319"/>
    <n v="0.7"/>
    <n v="0.5"/>
    <n v="0.1"/>
    <n v="10.7"/>
    <n v="17.2"/>
    <n v="5.6"/>
    <n v="78.3"/>
    <n v="19.899999999999999"/>
    <n v="6.99"/>
    <n v="93.3"/>
    <n v="2313.0500000000002"/>
  </r>
  <r>
    <x v="2"/>
    <s v="2019-11-2791"/>
    <x v="1"/>
    <s v="ESTACION MONTENEVADO"/>
    <s v="LOT-199-RIO-100-RIO_NEGRO"/>
    <s v="Rionegro"/>
    <s v="R. 112-5304-2016 - Río Negro - Tramo: 3 - Río Negro"/>
    <x v="0"/>
    <s v="06°05'42,34&quot;"/>
    <s v="75°28'32,82&quot;"/>
    <d v="2019-11-26T00:00:00"/>
    <s v="nov"/>
    <x v="0"/>
    <n v="162"/>
    <n v="0.5"/>
    <n v="0.1"/>
    <n v="0.1"/>
    <n v="2.2000000000000002"/>
    <n v="18.100000000000001"/>
    <n v="7.24"/>
    <n v="97.7"/>
    <n v="17.5"/>
    <n v="7.23"/>
    <n v="44.6"/>
    <n v="9631.39"/>
  </r>
  <r>
    <x v="0"/>
    <s v="2020-02-0245"/>
    <x v="1"/>
    <s v="ESTACION MONTENEVADO"/>
    <s v="LOT-199-RIO-100-RIO_NEGRO"/>
    <s v="Rionegro"/>
    <s v="R. 112-5304-2016 - Río Negro - Tramo: 3 - Río Negro"/>
    <x v="0"/>
    <s v="06°05'42,34&quot;"/>
    <s v="75°28'32,82&quot;"/>
    <d v="2020-02-25T00:00:00"/>
    <s v="feb"/>
    <x v="1"/>
    <n v="185"/>
    <n v="0.6"/>
    <n v="0.3"/>
    <n v="0.2"/>
    <n v="4.7"/>
    <n v="10"/>
    <n v="6.85"/>
    <n v="92.1"/>
    <n v="17.899999999999999"/>
    <n v="6.75"/>
    <n v="86.6"/>
    <n v="684.89"/>
  </r>
  <r>
    <x v="0"/>
    <s v="2020-08-1107"/>
    <x v="1"/>
    <s v="ESTACION MONTENEVADO"/>
    <s v="LOT-199-RIO-100-RIO_NEGRO"/>
    <s v="Rionegro"/>
    <s v="R. 112-5304-2016 - Río Negro - Tramo: 3 - Río Negro"/>
    <x v="0"/>
    <s v="06°05'42,34&quot;"/>
    <s v="75°28'32,82&quot;"/>
    <d v="2020-08-24T00:00:00"/>
    <s v="ago"/>
    <x v="0"/>
    <n v="208"/>
    <n v="1.4"/>
    <n v="0.5"/>
    <n v="0.1"/>
    <n v="1.3"/>
    <n v="24.9"/>
    <n v="7.66"/>
    <n v="98"/>
    <n v="15.2"/>
    <n v="6.7"/>
    <n v="38"/>
    <n v="4800"/>
  </r>
  <r>
    <x v="0"/>
    <s v="2020-11-1862"/>
    <x v="1"/>
    <s v="ESTACION MONTENEVADO"/>
    <s v="LOT-199-RIO-100-RIO_NEGRO"/>
    <s v="Rionegro"/>
    <s v="R. 112-5304-2016 - Río Negro - Tramo: 3 - Río Negro"/>
    <x v="0"/>
    <s v="06°05'42,34&quot;"/>
    <s v="75°28'32,82&quot;"/>
    <d v="2020-11-23T00:00:00"/>
    <s v="nov"/>
    <x v="0"/>
    <n v="229"/>
    <n v="0.8"/>
    <n v="0.4"/>
    <n v="0.3"/>
    <n v="1.1000000000000001"/>
    <n v="10.8"/>
    <n v="7.78"/>
    <n v="101.9"/>
    <n v="16.2"/>
    <n v="6.96"/>
    <n v="43.9"/>
    <n v="11230"/>
  </r>
  <r>
    <x v="1"/>
    <s v="2021-02-189"/>
    <x v="1"/>
    <s v="ESTACION MONTENEVADO"/>
    <s v="LOT-199-RIO-100-RIO_NEGRO"/>
    <s v="Rionegro"/>
    <s v="R. 112-5304-2016 - Río Negro - Tramo: 3 - Río Negro"/>
    <x v="0"/>
    <s v="06°05'42,34&quot;"/>
    <s v="75°28'32,82&quot;"/>
    <d v="2021-02-01T00:00:00"/>
    <s v="feb"/>
    <x v="1"/>
    <n v="252"/>
    <n v="0.57999999999999996"/>
    <n v="0.34"/>
    <n v="0.24"/>
    <n v="1.6"/>
    <n v="10"/>
    <n v="7.09"/>
    <n v="96.6"/>
    <n v="17.2"/>
    <n v="6.92"/>
    <n v="79.400000000000006"/>
    <n v="859.86"/>
  </r>
  <r>
    <x v="1"/>
    <s v="2021-11-2216"/>
    <x v="1"/>
    <s v="ESTACION MONTENEVADO"/>
    <s v="LOT-199-RIO-100-RIO_NEGRO"/>
    <s v="Rionegro"/>
    <s v="R. 112-5304-2016 - Río Negro - Tramo: 3 - Río Negro"/>
    <x v="0"/>
    <s v="06°05'42,34&quot;"/>
    <s v="75°28'32,82&quot;"/>
    <d v="2021-11-29T00:00:00"/>
    <s v="nov"/>
    <x v="0"/>
    <n v="275"/>
    <n v="0.6"/>
    <n v="0.3"/>
    <n v="0.2"/>
    <n v="1"/>
    <n v="5.0999999999999996"/>
    <n v="7.38"/>
    <n v="97.3"/>
    <n v="16.5"/>
    <n v="6.99"/>
    <n v="34.4"/>
    <n v="3371.45"/>
  </r>
  <r>
    <x v="2"/>
    <s v="2019-11-2762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19-11-25T00:00:00"/>
    <s v="nov"/>
    <x v="0"/>
    <n v="173"/>
    <n v="0.5"/>
    <n v="0.1"/>
    <n v="0.1"/>
    <n v="6.4"/>
    <n v="23.3"/>
    <n v="4.24"/>
    <n v="58.8"/>
    <n v="19.399999999999999"/>
    <n v="7.23"/>
    <n v="113.7"/>
    <n v="2546.2800000000002"/>
  </r>
  <r>
    <x v="2"/>
    <s v="2019-11-2763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19-11-25T00:00:00"/>
    <s v="nov"/>
    <x v="0"/>
    <n v="174"/>
    <n v="1.8"/>
    <n v="1.2"/>
    <n v="0.5"/>
    <n v="6.1"/>
    <n v="39.700000000000003"/>
    <n v="3.98"/>
    <n v="55.4"/>
    <n v="19.5"/>
    <n v="7.17"/>
    <n v="308"/>
    <n v="4417.1400000000003"/>
  </r>
  <r>
    <x v="2"/>
    <s v="2019-11-2764"/>
    <x v="1"/>
    <s v="ESTACION PUENTE MOLINO"/>
    <s v="LOT-086-GUA-200-LA_MOSCA"/>
    <s v="Guarne"/>
    <s v="R. 112-5304-2016 - Río Negro - Tramo: 13 - Quebrada La Mosca"/>
    <x v="2"/>
    <s v="06°18'14,20&quot;"/>
    <s v="75°27'23,60&quot;"/>
    <d v="2019-11-25T00:00:00"/>
    <s v="nov"/>
    <x v="0"/>
    <n v="180"/>
    <n v="0.4"/>
    <n v="0.1"/>
    <n v="0.1"/>
    <n v="1.5"/>
    <n v="10"/>
    <n v="7.45"/>
    <n v="97.8"/>
    <n v="16"/>
    <n v="7.38"/>
    <n v="61.9"/>
    <n v="292.73"/>
  </r>
  <r>
    <x v="2"/>
    <s v="2019-11-2765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19-11-25T00:00:00"/>
    <s v="nov"/>
    <x v="0"/>
    <n v="181"/>
    <n v="0.6"/>
    <n v="0.3"/>
    <n v="0.1"/>
    <n v="11.4"/>
    <n v="53.9"/>
    <n v="6.59"/>
    <n v="86.5"/>
    <n v="15.9"/>
    <n v="7.58"/>
    <n v="153.4"/>
    <n v="1376.93"/>
  </r>
  <r>
    <x v="2"/>
    <s v="2019-11-2766"/>
    <x v="4"/>
    <s v="ESTACION RIOTEX"/>
    <s v="LOT-179-RIO-500-LA_MOSCA"/>
    <s v="Rionegro"/>
    <s v="R. 112-5304-2016 - Río Negro - Tramo: 13 - Quebrada La Mosca"/>
    <x v="2"/>
    <s v="06°10'51,60&quot;"/>
    <s v="75°22'00,15&quot;"/>
    <d v="2019-11-25T00:00:00"/>
    <s v="nov"/>
    <x v="0"/>
    <n v="183"/>
    <n v="1.4"/>
    <n v="0.7"/>
    <n v="0.4"/>
    <n v="41"/>
    <n v="89.1"/>
    <n v="4.82"/>
    <n v="64.2"/>
    <n v="15.4"/>
    <n v="6.85"/>
    <n v="142.5"/>
    <n v="5357.17"/>
  </r>
  <r>
    <x v="2"/>
    <s v="2019-11-2767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19-11-25T00:00:00"/>
    <s v="nov"/>
    <x v="0"/>
    <n v="175"/>
    <n v="0.6"/>
    <n v="0.3"/>
    <n v="0.1"/>
    <n v="3.1"/>
    <n v="25.5"/>
    <n v="5.92"/>
    <n v="85.5"/>
    <n v="20.6"/>
    <n v="7.27"/>
    <n v="78.599999999999994"/>
    <n v="1849.32"/>
  </r>
  <r>
    <x v="2"/>
    <s v="2019-11-2768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19-11-25T00:00:00"/>
    <s v="nov"/>
    <x v="0"/>
    <n v="177"/>
    <n v="1.8"/>
    <n v="0.8"/>
    <n v="0.4"/>
    <n v="11.7"/>
    <n v="74.400000000000006"/>
    <n v="4.78"/>
    <n v="68.7"/>
    <n v="19.8"/>
    <n v="7.17"/>
    <n v="72.099999999999994"/>
    <n v="5830.53"/>
  </r>
  <r>
    <x v="2"/>
    <s v="2019-11-2769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19-11-25T00:00:00"/>
    <s v="nov"/>
    <x v="0"/>
    <n v="178"/>
    <n v="0.8"/>
    <n v="0.2"/>
    <n v="0.1"/>
    <n v="21.1"/>
    <n v="65.3"/>
    <n v="3.42"/>
    <n v="48.4"/>
    <n v="19.8"/>
    <n v="7.16"/>
    <n v="106"/>
    <n v="6523.06"/>
  </r>
  <r>
    <x v="2"/>
    <s v="2019-11-2770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19-11-25T00:00:00"/>
    <s v="nov"/>
    <x v="0"/>
    <n v="176"/>
    <n v="2"/>
    <n v="0.9"/>
    <n v="0.4"/>
    <n v="7.2"/>
    <n v="59.6"/>
    <n v="5.18"/>
    <n v="74.599999999999994"/>
    <n v="20.100000000000001"/>
    <n v="7.15"/>
    <n v="68.8"/>
    <n v="8908.2000000000007"/>
  </r>
  <r>
    <x v="2"/>
    <s v="2019-11-2772"/>
    <x v="3"/>
    <s v="ROMERAL"/>
    <s v="LOT-085-GUA-100-LA_MOSCA"/>
    <s v="Guarne"/>
    <s v="R. 112-5304-2016 - Río Negro - Tramo: 12 - Quebrada La Mosca"/>
    <x v="2"/>
    <s v="06°18'32,19&quot;"/>
    <s v="75°27'33,70&quot;"/>
    <d v="2019-11-25T00:00:00"/>
    <s v="nov"/>
    <x v="0"/>
    <n v="179"/>
    <n v="0.3"/>
    <n v="0.1"/>
    <n v="0.1"/>
    <n v="1"/>
    <n v="10"/>
    <n v="7.47"/>
    <n v="98.1"/>
    <n v="15.8"/>
    <n v="7.5"/>
    <n v="62.8"/>
    <n v="136.47"/>
  </r>
  <r>
    <x v="2"/>
    <s v="2019-11-2773"/>
    <x v="3"/>
    <s v="OMYA"/>
    <s v="LOT-088-GUA-400-LA_MOSCA"/>
    <s v="Guarne"/>
    <s v="R. 112-5304-2016 - Río Negro - Tramo: 13 - Quebrada La Mosca"/>
    <x v="2"/>
    <s v="06°13'34,97&quot;"/>
    <s v="75°24'07,65&quot;"/>
    <d v="2019-11-25T00:00:00"/>
    <s v="nov"/>
    <x v="0"/>
    <n v="182"/>
    <n v="0.5"/>
    <n v="0.2"/>
    <n v="0.1"/>
    <n v="2.6"/>
    <n v="14.2"/>
    <n v="5.99"/>
    <n v="79.2"/>
    <n v="16.3"/>
    <n v="7.25"/>
    <n v="101.3"/>
    <n v="1397.87"/>
  </r>
  <r>
    <x v="3"/>
    <s v="2022-02-0214"/>
    <x v="1"/>
    <s v="ESTACION MONTENEVADO"/>
    <s v="LOT-199-RIO-100-RIO_NEGRO"/>
    <s v="Rionegro"/>
    <s v="R. 112-5304-2016 - Río Negro - Tramo: 3 - Río Negro"/>
    <x v="0"/>
    <s v="06°05'42,34&quot;"/>
    <s v="75°28'32,82&quot;"/>
    <d v="2022-02-22T00:00:00"/>
    <s v="feb"/>
    <x v="1"/>
    <n v="132"/>
    <n v="1.2"/>
    <n v="0.4"/>
    <n v="0.2"/>
    <n v="3.6"/>
    <n v="20.7"/>
    <n v="7.92"/>
    <n v="99.3"/>
    <n v="14.4"/>
    <n v="6.8849999999999998"/>
    <n v="40.5"/>
    <n v="4735.5"/>
  </r>
  <r>
    <x v="3"/>
    <s v="2022-06-0902"/>
    <x v="1"/>
    <s v="ESTACION MONTENEVADO"/>
    <s v="LOT-199-RIO-100-RIO_NEGRO"/>
    <s v="Rionegro"/>
    <s v="R. 112-5304-2016 - Río Negro - Tramo: 3 - Río Negro"/>
    <x v="0"/>
    <s v="06°05'42,34&quot;"/>
    <s v="75°28'32,82&quot;"/>
    <d v="2022-06-08T00:00:00"/>
    <s v="jun"/>
    <x v="0"/>
    <n v="142"/>
    <n v="0.6"/>
    <n v="0.3"/>
    <n v="0.2"/>
    <n v="3"/>
    <n v="18.399999999999999"/>
    <n v="7.58"/>
    <n v="98.5"/>
    <n v="15.9"/>
    <n v="7.14"/>
    <n v="39.85"/>
    <n v="11226.3"/>
  </r>
  <r>
    <x v="3"/>
    <s v="2022-11-2182"/>
    <x v="1"/>
    <s v="ESTACION MONTENEVADO"/>
    <s v="LOT-199-RIO-100-RIO_NEGRO"/>
    <s v="Rionegro"/>
    <s v="R. 112-5304-2016 - Río Negro - Tramo: 3 - Río Negro"/>
    <x v="0"/>
    <s v="06°05'42,34&quot;"/>
    <s v="75°28'32,82&quot;"/>
    <d v="2022-11-23T00:00:00"/>
    <s v="nov"/>
    <x v="0"/>
    <n v="152"/>
    <n v="0.54"/>
    <n v="0.22"/>
    <n v="0.1"/>
    <n v="4.8"/>
    <n v="35.799999999999997"/>
    <n v="7.68"/>
    <n v="101.65"/>
    <n v="17.100000000000001"/>
    <n v="7.0149999999999997"/>
    <n v="38.299999999999997"/>
    <n v="10114.5"/>
  </r>
  <r>
    <x v="4"/>
    <s v="2023-02-0221"/>
    <x v="1"/>
    <s v="ESTACION MONTENEVADO"/>
    <s v="LOT-199-RIO-100-RIO_NEGRO"/>
    <s v="Rionegro"/>
    <s v="R. 112-5304-2016 - Río Negro - Tramo: 3 - Río Negro"/>
    <x v="0"/>
    <s v="06°05'42,34&quot;"/>
    <s v="75°28'32,82&quot;"/>
    <d v="2023-02-28T00:00:00"/>
    <s v="feb"/>
    <x v="1"/>
    <n v="102"/>
    <n v="0.4"/>
    <n v="0.14000000000000001"/>
    <n v="0.06"/>
    <n v="1.6"/>
    <n v="16.399999999999999"/>
    <n v="6.77"/>
    <n v="89.3"/>
    <n v="15.6"/>
    <n v="6.6449999999999996"/>
    <n v="70.400000000000006"/>
    <n v="1470.1"/>
  </r>
  <r>
    <x v="4"/>
    <s v="2023-05-0706"/>
    <x v="1"/>
    <s v="ESTACION MONTENEVADO"/>
    <s v="LOT-199-RIO-100-RIO_NEGRO"/>
    <s v="Rionegro"/>
    <s v="R. 112-5304-2016 - Río Negro - Tramo: 3 - Río Negro"/>
    <x v="0"/>
    <s v="06°05'42,34&quot;"/>
    <s v="75°28'32,82&quot;"/>
    <d v="2023-05-10T00:00:00"/>
    <s v="may"/>
    <x v="0"/>
    <n v="112"/>
    <n v="0.36"/>
    <n v="0.1"/>
    <n v="0.04"/>
    <n v="2"/>
    <n v="11.1"/>
    <n v="6.8250000000000002"/>
    <n v="91.4"/>
    <n v="17"/>
    <n v="6.6950000000000003"/>
    <n v="74.599999999999994"/>
    <n v="901.6"/>
  </r>
  <r>
    <x v="4"/>
    <s v="2023-11-2333"/>
    <x v="1"/>
    <s v="ESTACION MONTENEVADO"/>
    <s v="LOT-199-RIO-100-RIO_NEGRO"/>
    <s v="Rionegro"/>
    <s v="R. 112-5304-2016 - Río Negro - Tramo: 3 - Río Negro"/>
    <x v="0"/>
    <s v="06°05'42,34&quot;"/>
    <s v="75°28'32,82&quot;"/>
    <d v="2023-11-22T00:00:00"/>
    <s v="nov"/>
    <x v="0"/>
    <n v="124"/>
    <n v="0.34"/>
    <n v="0.16"/>
    <n v="0.1"/>
    <n v="1.4"/>
    <n v="13.6"/>
    <n v="7.2750000000000004"/>
    <n v="96.15"/>
    <n v="16.7"/>
    <n v="6.36"/>
    <n v="58.15"/>
    <n v="1706.8"/>
  </r>
  <r>
    <x v="2"/>
    <s v="2019-11-2797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19-11-26T00:00:00"/>
    <s v="nov"/>
    <x v="0"/>
    <n v="171"/>
    <n v="0.3"/>
    <n v="0.1"/>
    <n v="0.1"/>
    <n v="1.4"/>
    <n v="10"/>
    <n v="6.82"/>
    <n v="97.5"/>
    <n v="19.3"/>
    <n v="7.31"/>
    <n v="76.7"/>
    <n v="287.08"/>
  </r>
  <r>
    <x v="2"/>
    <s v="2019-11-2798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19-11-26T00:00:00"/>
    <s v="nov"/>
    <x v="0"/>
    <n v="172"/>
    <n v="0.9"/>
    <n v="0.4"/>
    <n v="0.1"/>
    <n v="28.3"/>
    <n v="57.3"/>
    <n v="4.58"/>
    <n v="65.400000000000006"/>
    <n v="20"/>
    <n v="7.24"/>
    <n v="150.5"/>
    <n v="942.52"/>
  </r>
  <r>
    <x v="5"/>
    <s v="2024-02-0184"/>
    <x v="1"/>
    <s v="ESTACION MONTENEVADO"/>
    <s v="LOT-199-RIO-100-RIO_NEGRO"/>
    <s v="Rionegro"/>
    <s v="R. 112-5304-2016 - Río Negro - Tramo: 3 - Río Negro"/>
    <x v="0"/>
    <s v="06°05'42,34&quot;"/>
    <s v="75°28'32,82&quot;"/>
    <d v="2024-02-27T00:00:00"/>
    <s v="feb"/>
    <x v="1"/>
    <m/>
    <n v="0.56000000000000005"/>
    <n v="0.22"/>
    <n v="0.12"/>
    <n v="0.9"/>
    <n v="2.6"/>
    <n v="6.88"/>
    <n v="90.199999999999989"/>
    <n v="16.399999999999999"/>
    <n v="6.99"/>
    <n v="83.3"/>
    <n v="657.5"/>
  </r>
  <r>
    <x v="5"/>
    <s v="2024-06-0838"/>
    <x v="1"/>
    <s v="ESTACION MONTENEVADO"/>
    <s v="LOT-199-RIO-100-RIO_NEGRO"/>
    <s v="Rionegro"/>
    <s v="R. 112-5304-2016 - Río Negro - Tramo: 3 - Río Negro"/>
    <x v="0"/>
    <s v="06°05'42,34&quot;"/>
    <s v="75°28'32,82&quot;"/>
    <d v="2024-06-18T00:00:00"/>
    <s v="jun"/>
    <x v="0"/>
    <m/>
    <n v="0.62"/>
    <n v="0.26"/>
    <n v="0.12"/>
    <n v="0.1"/>
    <n v="15.4"/>
    <n v="7.7350000000000003"/>
    <n v="101.2"/>
    <n v="16.600000000000001"/>
    <n v="7.5749999999999993"/>
    <n v="40.349999999999994"/>
    <s v="N.D."/>
  </r>
  <r>
    <x v="5"/>
    <s v="2024-11-1986"/>
    <x v="1"/>
    <s v="ESTACION MONTENEVADO"/>
    <s v="LOT-199-RIO-100-RIO_NEGRO"/>
    <s v="Rionegro"/>
    <s v="R. 112-5304-2016 - Río Negro - Tramo: 3 - Río Negro"/>
    <x v="0"/>
    <s v="06°05'42,34&quot;"/>
    <s v="75°28'32,82&quot;"/>
    <d v="2024-11-26T00:00:00"/>
    <s v="nov"/>
    <x v="0"/>
    <m/>
    <n v="2.12"/>
    <n v="1.78"/>
    <n v="1.7"/>
    <n v="0.8"/>
    <n v="9.8000000000000007"/>
    <n v="7.6850000000000005"/>
    <n v="100.55"/>
    <n v="16.100000000000001"/>
    <n v="7.0050000000000008"/>
    <n v="72.400000000000006"/>
    <s v="N.D."/>
  </r>
  <r>
    <x v="5"/>
    <s v="2024-02-0185"/>
    <x v="3"/>
    <s v="ESTACION CHARCOMANSO"/>
    <s v="LOT-200-RIO-200-RIO_NEGRO"/>
    <s v="Rionegro"/>
    <s v="R. 112-5304-2016 - Río Negro - Tramo: 3 - Río Negro"/>
    <x v="0"/>
    <s v="06°08'19,36&quot;"/>
    <s v="75°25'52,78&quot;"/>
    <d v="2024-02-27T00:00:00"/>
    <s v="feb"/>
    <x v="1"/>
    <m/>
    <n v="1.06"/>
    <n v="0.4"/>
    <n v="0.18"/>
    <n v="1.5"/>
    <n v="13.6"/>
    <n v="6.6400000000000006"/>
    <n v="90.199999999999989"/>
    <n v="18"/>
    <n v="6.9249999999999998"/>
    <n v="135.14999999999998"/>
    <s v="N.D."/>
  </r>
  <r>
    <x v="0"/>
    <s v="2020-02-0228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0-02-24T00:00:00"/>
    <s v="feb"/>
    <x v="1"/>
    <n v="196"/>
    <n v="1.1000000000000001"/>
    <n v="0.5"/>
    <n v="0.3"/>
    <n v="6.6"/>
    <n v="44.2"/>
    <n v="3.31"/>
    <n v="45.6"/>
    <n v="19"/>
    <n v="7.34"/>
    <n v="184.9"/>
    <n v="654.48"/>
  </r>
  <r>
    <x v="0"/>
    <s v="2020-02-0229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0-02-24T00:00:00"/>
    <s v="feb"/>
    <x v="1"/>
    <n v="197"/>
    <n v="4.3"/>
    <n v="3.3"/>
    <n v="1.4"/>
    <n v="11.1"/>
    <n v="61.2"/>
    <n v="4.13"/>
    <n v="57.1"/>
    <n v="19.100000000000001"/>
    <n v="7.44"/>
    <n v="496"/>
    <n v="705.59"/>
  </r>
  <r>
    <x v="0"/>
    <s v="2020-02-0230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0-02-24T00:00:00"/>
    <s v="feb"/>
    <x v="1"/>
    <n v="203"/>
    <n v="0.5"/>
    <n v="0.2"/>
    <n v="0.1"/>
    <n v="2.4"/>
    <n v="13.8"/>
    <n v="7.38"/>
    <n v="99.9"/>
    <n v="17.5"/>
    <n v="7.31"/>
    <n v="80.8"/>
    <n v="185.89"/>
  </r>
  <r>
    <x v="0"/>
    <s v="2020-02-0231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0-02-24T00:00:00"/>
    <s v="feb"/>
    <x v="1"/>
    <n v="204"/>
    <n v="1.5"/>
    <n v="0.9"/>
    <n v="0.6"/>
    <n v="48.5"/>
    <n v="130.9"/>
    <n v="5.19"/>
    <n v="72.099999999999994"/>
    <n v="18.5"/>
    <n v="7.58"/>
    <n v="227"/>
    <n v="769.53"/>
  </r>
  <r>
    <x v="0"/>
    <s v="2020-02-0232"/>
    <x v="4"/>
    <s v="ESTACION RIOTEX"/>
    <s v="LOT-179-RIO-500-LA_MOSCA"/>
    <s v="Rionegro"/>
    <s v="R. 112-5304-2016 - Río Negro - Tramo: 13 - Quebrada La Mosca"/>
    <x v="2"/>
    <s v="06°10'51,60&quot;"/>
    <s v="75°22'00,15&quot;"/>
    <d v="2020-02-24T00:00:00"/>
    <s v="feb"/>
    <x v="1"/>
    <n v="206"/>
    <n v="1.5"/>
    <n v="1.2"/>
    <n v="0.9"/>
    <n v="14"/>
    <n v="69.599999999999994"/>
    <n v="2.64"/>
    <n v="36.1"/>
    <n v="18.600000000000001"/>
    <n v="7.21"/>
    <n v="247"/>
    <n v="1294.44"/>
  </r>
  <r>
    <x v="0"/>
    <s v="2020-02-023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0-02-24T00:00:00"/>
    <s v="feb"/>
    <x v="1"/>
    <n v="198"/>
    <n v="0.4"/>
    <n v="0.2"/>
    <n v="0.1"/>
    <n v="3.5"/>
    <n v="31.5"/>
    <n v="6.2"/>
    <n v="88.7"/>
    <n v="20"/>
    <n v="7.34"/>
    <n v="100.2"/>
    <n v="878.08"/>
  </r>
  <r>
    <x v="0"/>
    <s v="2020-02-0234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0-02-24T00:00:00"/>
    <s v="feb"/>
    <x v="1"/>
    <n v="200"/>
    <n v="0.7"/>
    <n v="0.3"/>
    <n v="0.2"/>
    <n v="3.1"/>
    <n v="15.6"/>
    <n v="5.09"/>
    <n v="72.8"/>
    <n v="21"/>
    <n v="7.29"/>
    <n v="105.4"/>
    <n v="2559.4499999999998"/>
  </r>
  <r>
    <x v="0"/>
    <s v="2020-02-0235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0-02-24T00:00:00"/>
    <s v="feb"/>
    <x v="1"/>
    <n v="201"/>
    <n v="0.9"/>
    <n v="0.4"/>
    <n v="0.3"/>
    <n v="13.5"/>
    <n v="46.1"/>
    <n v="2.13"/>
    <n v="30.4"/>
    <n v="20.399999999999999"/>
    <n v="7.19"/>
    <n v="153.1"/>
    <n v="2431.75"/>
  </r>
  <r>
    <x v="0"/>
    <s v="2020-02-0236_C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0-02-24T00:00:00"/>
    <s v="feb"/>
    <x v="1"/>
    <n v="199"/>
    <n v="0.7"/>
    <n v="0.3"/>
    <n v="0.2"/>
    <n v="5.9"/>
    <n v="33"/>
    <n v="5.32"/>
    <n v="76.5"/>
    <n v="20.7"/>
    <n v="7.36"/>
    <n v="126.4"/>
    <n v="1299.97"/>
  </r>
  <r>
    <x v="0"/>
    <s v="2020-02-0238"/>
    <x v="3"/>
    <s v="ROMERAL"/>
    <s v="LOT-085-GUA-100-LA_MOSCA"/>
    <s v="Guarne"/>
    <s v="R. 112-5304-2016 - Río Negro - Tramo: 12 - Quebrada La Mosca"/>
    <x v="2"/>
    <s v="06°18'32,19&quot;"/>
    <s v="75°27'33,70&quot;"/>
    <d v="2020-02-24T00:00:00"/>
    <s v="feb"/>
    <x v="1"/>
    <n v="202"/>
    <n v="0.5"/>
    <n v="0.2"/>
    <n v="0.1"/>
    <n v="1.4"/>
    <n v="18.600000000000001"/>
    <n v="7.37"/>
    <n v="99.5"/>
    <n v="17.3"/>
    <n v="7.43"/>
    <n v="91"/>
    <n v="51.97"/>
  </r>
  <r>
    <x v="0"/>
    <s v="2020-02-0239"/>
    <x v="3"/>
    <s v="OMYA"/>
    <s v="LOT-088-GUA-400-LA_MOSCA"/>
    <s v="Guarne"/>
    <s v="R. 112-5304-2016 - Río Negro - Tramo: 13 - Quebrada La Mosca"/>
    <x v="2"/>
    <s v="06°13'34,97&quot;"/>
    <s v="75°24'07,65&quot;"/>
    <d v="2020-02-24T00:00:00"/>
    <s v="feb"/>
    <x v="1"/>
    <n v="205"/>
    <n v="0.8"/>
    <n v="0.4"/>
    <n v="0.2"/>
    <n v="2.8"/>
    <n v="10"/>
    <n v="4.53"/>
    <n v="64.099999999999994"/>
    <n v="20.399999999999999"/>
    <n v="7.25"/>
    <n v="140.69999999999999"/>
    <n v="1189.97"/>
  </r>
  <r>
    <x v="5"/>
    <s v="2024-06-0839"/>
    <x v="3"/>
    <s v="ESTACION CHARCOMANSO"/>
    <s v="LOT-200-RIO-200-RIO_NEGRO"/>
    <s v="Rionegro"/>
    <s v="R. 112-5304-2016 - Río Negro - Tramo: 3 - Río Negro"/>
    <x v="0"/>
    <s v="06°08'19,36&quot;"/>
    <s v="75°25'52,78&quot;"/>
    <d v="2024-06-18T00:00:00"/>
    <s v="jun"/>
    <x v="0"/>
    <m/>
    <n v="0.6"/>
    <n v="0.3"/>
    <n v="0.18"/>
    <n v="0.2"/>
    <n v="13.5"/>
    <n v="6.7799999999999994"/>
    <n v="90.8"/>
    <n v="17.8"/>
    <n v="7.43"/>
    <n v="67.05"/>
    <s v="N.D."/>
  </r>
  <r>
    <x v="5"/>
    <s v="2024-11-1987"/>
    <x v="3"/>
    <s v="ESTACION CHARCOMANSO"/>
    <s v="LOT-200-RIO-200-RIO_NEGRO"/>
    <s v="Rionegro"/>
    <s v="R. 112-5304-2016 - Río Negro - Tramo: 3 - Río Negro"/>
    <x v="0"/>
    <s v="06°08'19,36&quot;"/>
    <s v="75°25'52,78&quot;"/>
    <d v="2024-11-26T00:00:00"/>
    <s v="nov"/>
    <x v="0"/>
    <m/>
    <n v="1.82"/>
    <n v="1.38"/>
    <n v="1.18"/>
    <n v="0.7"/>
    <n v="11.5"/>
    <n v="7.0949999999999998"/>
    <n v="93.55"/>
    <n v="16.600000000000001"/>
    <n v="6.6199999999999992"/>
    <n v="54.3"/>
    <s v="N.D."/>
  </r>
  <r>
    <x v="1"/>
    <s v=" 2021-07-1204"/>
    <x v="3"/>
    <s v="ESTACION CHARCOMANSO"/>
    <s v="LOT-200-RIO-200-RIO_NEGRO"/>
    <s v="Rionegro"/>
    <s v="R. 112-5304-2016 - Río Negro - Tramo: 3 - Río Negro"/>
    <x v="0"/>
    <s v="06°08'19,36&quot;"/>
    <s v="75°25'52,78&quot;"/>
    <d v="2021-07-12T00:00:00"/>
    <s v="jul"/>
    <x v="0"/>
    <n v="299"/>
    <n v="0.9"/>
    <n v="0.5"/>
    <n v="0.3"/>
    <n v="4"/>
    <n v="0"/>
    <n v="6.75"/>
    <n v="84.5"/>
    <n v="16.399999999999999"/>
    <n v="6.5"/>
    <n v="53.8"/>
    <s v="N.D."/>
  </r>
  <r>
    <x v="2"/>
    <s v="2019-11-2792"/>
    <x v="3"/>
    <s v="ESTACION CHARCOMANSO"/>
    <s v="LOT-200-RIO-200-RIO_NEGRO"/>
    <s v="Rionegro"/>
    <s v="R. 112-5304-2016 - Río Negro - Tramo: 3 - Río Negro"/>
    <x v="0"/>
    <s v="06°08'19,36&quot;"/>
    <s v="75°25'52,78&quot;"/>
    <d v="2019-11-26T00:00:00"/>
    <s v="nov"/>
    <x v="0"/>
    <n v="163"/>
    <n v="0.6"/>
    <n v="0.1"/>
    <n v="0.1"/>
    <n v="1.1000000000000001"/>
    <n v="10"/>
    <n v="6.68"/>
    <n v="91.1"/>
    <n v="18.399999999999999"/>
    <n v="7.06"/>
    <n v="49.9"/>
    <n v="8916.9"/>
  </r>
  <r>
    <x v="0"/>
    <s v="2020-02-0246"/>
    <x v="3"/>
    <s v="ESTACION CHARCOMANSO"/>
    <s v="LOT-200-RIO-200-RIO_NEGRO"/>
    <s v="Rionegro"/>
    <s v="R. 112-5304-2016 - Río Negro - Tramo: 3 - Río Negro"/>
    <x v="0"/>
    <s v="06°08'19,36&quot;"/>
    <s v="75°25'52,78&quot;"/>
    <d v="2020-02-25T00:00:00"/>
    <s v="feb"/>
    <x v="1"/>
    <n v="186"/>
    <n v="0.5"/>
    <n v="0.2"/>
    <n v="0.1"/>
    <n v="4.0999999999999996"/>
    <n v="34.700000000000003"/>
    <n v="7.13"/>
    <n v="100.4"/>
    <n v="20.100000000000001"/>
    <n v="7.19"/>
    <n v="106.4"/>
    <n v="1006.93"/>
  </r>
  <r>
    <x v="0"/>
    <s v="2020-08-1108"/>
    <x v="3"/>
    <s v="ESTACION CHARCOMANSO"/>
    <s v="LOT-200-RIO-200-RIO_NEGRO"/>
    <s v="Rionegro"/>
    <s v="R. 112-5304-2016 - Río Negro - Tramo: 3 - Río Negro"/>
    <x v="0"/>
    <s v="06°08'19,36&quot;"/>
    <s v="75°25'52,78&quot;"/>
    <d v="2020-08-24T00:00:00"/>
    <s v="ago"/>
    <x v="0"/>
    <n v="209"/>
    <n v="1.1000000000000001"/>
    <n v="0.3"/>
    <n v="0.1"/>
    <n v="2"/>
    <n v="25.9"/>
    <n v="6.35"/>
    <n v="84.8"/>
    <n v="17.7"/>
    <n v="6.46"/>
    <n v="59.8"/>
    <n v="9090"/>
  </r>
  <r>
    <x v="0"/>
    <s v="2020-02-0251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0-02-25T00:00:00"/>
    <s v="feb"/>
    <x v="1"/>
    <n v="194"/>
    <n v="0.4"/>
    <n v="0.2"/>
    <n v="0.1"/>
    <n v="1.9"/>
    <n v="10"/>
    <n v="6.96"/>
    <n v="104.5"/>
    <n v="22.1"/>
    <n v="7.68"/>
    <n v="95.3"/>
    <n v="145.59"/>
  </r>
  <r>
    <x v="0"/>
    <s v="2020-02-0252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0-02-25T00:00:00"/>
    <s v="feb"/>
    <x v="1"/>
    <n v="195"/>
    <n v="1.1000000000000001"/>
    <n v="0.5"/>
    <n v="0.3"/>
    <n v="48.5"/>
    <n v="104.4"/>
    <n v="1.91"/>
    <n v="27.7"/>
    <n v="22.1"/>
    <n v="7.31"/>
    <n v="254"/>
    <n v="549.74"/>
  </r>
  <r>
    <x v="0"/>
    <s v="2020-08-1095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0-08-24T00:00:00"/>
    <s v="ago"/>
    <x v="0"/>
    <n v="215"/>
    <n v="0.3"/>
    <n v="0.1"/>
    <n v="0.1"/>
    <n v="3.1"/>
    <n v="29.6"/>
    <n v="7.24"/>
    <n v="99.8"/>
    <n v="18.100000000000001"/>
    <n v="7.46"/>
    <n v="55.6"/>
    <n v="1850.58"/>
  </r>
  <r>
    <x v="0"/>
    <s v="2020-08-1096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0-08-24T00:00:00"/>
    <s v="ago"/>
    <x v="0"/>
    <n v="216"/>
    <n v="0.4"/>
    <n v="0.1"/>
    <n v="0.1"/>
    <n v="7.2"/>
    <n v="31.8"/>
    <n v="6.61"/>
    <n v="92.1"/>
    <n v="19.100000000000001"/>
    <n v="7.26"/>
    <n v="93.9"/>
    <n v="2007"/>
  </r>
  <r>
    <x v="0"/>
    <s v="2020-08-1097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0-08-24T00:00:00"/>
    <s v="ago"/>
    <x v="0"/>
    <n v="217"/>
    <n v="0.6"/>
    <n v="0.2"/>
    <n v="0.1"/>
    <n v="6.2"/>
    <n v="43.5"/>
    <n v="5.1100000000000003"/>
    <n v="70.3"/>
    <n v="18.600000000000001"/>
    <n v="7.02"/>
    <n v="70.3"/>
    <n v="2040"/>
  </r>
  <r>
    <x v="0"/>
    <s v="2020-08-1098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0-08-24T00:00:00"/>
    <s v="ago"/>
    <x v="0"/>
    <n v="218"/>
    <n v="0.9"/>
    <n v="0.5"/>
    <n v="0.2"/>
    <n v="5.3"/>
    <n v="37.1"/>
    <n v="5.27"/>
    <n v="71.599999999999994"/>
    <n v="18.100000000000001"/>
    <n v="7.07"/>
    <n v="116.3"/>
    <n v="2450"/>
  </r>
  <r>
    <x v="0"/>
    <s v="2020-11-1863"/>
    <x v="3"/>
    <s v="ESTACION CHARCOMANSO"/>
    <s v="LOT-200-RIO-200-RIO_NEGRO"/>
    <s v="Rionegro"/>
    <s v="R. 112-5304-2016 - Río Negro - Tramo: 3 - Río Negro"/>
    <x v="0"/>
    <s v="06°08'19,36&quot;"/>
    <s v="75°25'52,78&quot;"/>
    <d v="2020-11-23T00:00:00"/>
    <s v="nov"/>
    <x v="0"/>
    <n v="230"/>
    <n v="0.6"/>
    <n v="0.3"/>
    <n v="0.2"/>
    <n v="1.3"/>
    <n v="12.1"/>
    <n v="6.89"/>
    <n v="91.7"/>
    <n v="17.100000000000001"/>
    <n v="6.82"/>
    <n v="57.2"/>
    <n v="13380"/>
  </r>
  <r>
    <x v="1"/>
    <s v="2021-02-190"/>
    <x v="3"/>
    <s v="ESTACION CHARCOMANSO"/>
    <s v="LOT-200-RIO-200-RIO_NEGRO"/>
    <s v="Rionegro"/>
    <s v="R. 112-5304-2016 - Río Negro - Tramo: 3 - Río Negro"/>
    <x v="0"/>
    <s v="06°08'19,36&quot;"/>
    <s v="75°25'52,78&quot;"/>
    <d v="2021-02-01T00:00:00"/>
    <s v="feb"/>
    <x v="1"/>
    <n v="253"/>
    <n v="0.48"/>
    <n v="0.18"/>
    <n v="0.08"/>
    <n v="1.1000000000000001"/>
    <n v="10"/>
    <n v="7.11"/>
    <n v="97.9"/>
    <n v="18.3"/>
    <n v="7.11"/>
    <n v="79.099999999999994"/>
    <n v="1297.23"/>
  </r>
  <r>
    <x v="1"/>
    <s v="2021-11-2217"/>
    <x v="3"/>
    <s v="ESTACION CHARCOMANSO"/>
    <s v="LOT-200-RIO-200-RIO_NEGRO"/>
    <s v="Rionegro"/>
    <s v="R. 112-5304-2016 - Río Negro - Tramo: 3 - Río Negro"/>
    <x v="0"/>
    <s v="06°08'19,36&quot;"/>
    <s v="75°25'52,78&quot;"/>
    <d v="2021-11-29T00:00:00"/>
    <s v="nov"/>
    <x v="0"/>
    <n v="276"/>
    <n v="0.6"/>
    <n v="0.3"/>
    <n v="0.2"/>
    <n v="0.1"/>
    <n v="0"/>
    <n v="6.72"/>
    <n v="92.2"/>
    <n v="18"/>
    <n v="6.86"/>
    <n v="45.3"/>
    <s v="N.D."/>
  </r>
  <r>
    <x v="3"/>
    <s v="2022-02-0215"/>
    <x v="3"/>
    <s v="ESTACION CHARCOMANSO"/>
    <s v="LOT-200-RIO-200-RIO_NEGRO"/>
    <s v="Rionegro"/>
    <s v="R. 112-5304-2016 - Río Negro - Tramo: 3 - Río Negro"/>
    <x v="0"/>
    <s v="06°08'19,36&quot;"/>
    <s v="75°25'52,78&quot;"/>
    <d v="2022-02-22T00:00:00"/>
    <s v="feb"/>
    <x v="1"/>
    <n v="133"/>
    <n v="1.4"/>
    <n v="0.5"/>
    <n v="0.2"/>
    <n v="5"/>
    <n v="39.799999999999997"/>
    <n v="7.2949999999999999"/>
    <n v="94.1"/>
    <n v="15.8"/>
    <n v="6.6550000000000002"/>
    <n v="54.7"/>
    <n v="5861.8"/>
  </r>
  <r>
    <x v="0"/>
    <s v="2020-08-1115"/>
    <x v="3"/>
    <s v="ROMERAL"/>
    <s v="LOT-085-GUA-100-LA_MOSCA"/>
    <s v="Guarne"/>
    <s v="R. 112-5304-2016 - Río Negro - Tramo: 12 - Quebrada La Mosca"/>
    <x v="2"/>
    <s v="06°18'32,19&quot;"/>
    <s v="75°27'33,70&quot;"/>
    <d v="2020-08-25T00:00:00"/>
    <s v="ago"/>
    <x v="0"/>
    <n v="223"/>
    <n v="0.5"/>
    <n v="0.1"/>
    <n v="0.1"/>
    <n v="0.6"/>
    <n v="10"/>
    <n v="7.49"/>
    <n v="98.9"/>
    <n v="15.9"/>
    <n v="7.01"/>
    <n v="68.400000000000006"/>
    <n v="114.54"/>
  </r>
  <r>
    <x v="0"/>
    <s v="2020-08-1116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0-08-25T00:00:00"/>
    <s v="ago"/>
    <x v="0"/>
    <n v="224"/>
    <n v="0.5"/>
    <n v="0.1"/>
    <n v="0.1"/>
    <n v="0.8"/>
    <n v="10.02"/>
    <n v="7.49"/>
    <n v="99"/>
    <n v="16.399999999999999"/>
    <n v="7.33"/>
    <n v="68.400000000000006"/>
    <n v="314.04000000000002"/>
  </r>
  <r>
    <x v="0"/>
    <s v="2020-08-1117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0-08-25T00:00:00"/>
    <s v="ago"/>
    <x v="0"/>
    <n v="225"/>
    <n v="0.6"/>
    <n v="0.2"/>
    <n v="0.1"/>
    <n v="12.5"/>
    <n v="34.799999999999997"/>
    <n v="6.43"/>
    <n v="85.9"/>
    <n v="17.2"/>
    <n v="7.43"/>
    <n v="150.9"/>
    <n v="1649.75"/>
  </r>
  <r>
    <x v="0"/>
    <s v="2020-08-1118"/>
    <x v="3"/>
    <s v="OMYA"/>
    <s v="LOT-088-GUA-400-LA_MOSCA"/>
    <s v="Guarne"/>
    <s v="R. 112-5304-2016 - Río Negro - Tramo: 13 - Quebrada La Mosca"/>
    <x v="2"/>
    <s v="06°13'34,97&quot;"/>
    <s v="75°24'07,65&quot;"/>
    <d v="2020-08-25T00:00:00"/>
    <s v="ago"/>
    <x v="0"/>
    <n v="226"/>
    <n v="0.8"/>
    <n v="0.2"/>
    <n v="0.1"/>
    <n v="1.9"/>
    <n v="17.899999999999999"/>
    <n v="5.31"/>
    <n v="71.400000000000006"/>
    <n v="17.399999999999999"/>
    <n v="7.19"/>
    <n v="122.8"/>
    <n v="1782.58"/>
  </r>
  <r>
    <x v="0"/>
    <s v="2020-08-1119"/>
    <x v="4"/>
    <s v="ESTACION RIOTEX"/>
    <s v="LOT-179-RIO-500-LA_MOSCA"/>
    <s v="Rionegro"/>
    <s v="R. 112-5304-2016 - Río Negro - Tramo: 13 - Quebrada La Mosca"/>
    <x v="2"/>
    <s v="06°10'51,60&quot;"/>
    <s v="75°22'00,15&quot;"/>
    <d v="2020-08-25T00:00:00"/>
    <s v="ago"/>
    <x v="0"/>
    <n v="227"/>
    <n v="1.1000000000000001"/>
    <n v="0.4"/>
    <n v="0.2"/>
    <n v="4.5"/>
    <n v="17.2"/>
    <n v="4.8600000000000003"/>
    <n v="66.599999999999994"/>
    <n v="18.2"/>
    <n v="7.01"/>
    <n v="115.8"/>
    <n v="4190"/>
  </r>
  <r>
    <x v="0"/>
    <s v="2020-08-1120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0-08-25T00:00:00"/>
    <s v="ago"/>
    <x v="0"/>
    <n v="219"/>
    <n v="0.6"/>
    <n v="0.1"/>
    <n v="0.1"/>
    <n v="5.7"/>
    <n v="26.6"/>
    <n v="6.49"/>
    <n v="90"/>
    <n v="19"/>
    <n v="7.1"/>
    <n v="85.1"/>
    <n v="1740"/>
  </r>
  <r>
    <x v="0"/>
    <s v="2020-08-1122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0-08-25T00:00:00"/>
    <s v="ago"/>
    <x v="0"/>
    <n v="221"/>
    <n v="0.7"/>
    <n v="0.2"/>
    <n v="0.1"/>
    <n v="5.4"/>
    <n v="29.1"/>
    <n v="5.86"/>
    <n v="85.6"/>
    <n v="19.3"/>
    <n v="7.09"/>
    <n v="85.3"/>
    <n v="5250"/>
  </r>
  <r>
    <x v="0"/>
    <s v="2020-08-1123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0-08-25T00:00:00"/>
    <s v="ago"/>
    <x v="0"/>
    <n v="222"/>
    <n v="0.7"/>
    <n v="0.2"/>
    <n v="0.1"/>
    <n v="9.5"/>
    <n v="41.9"/>
    <n v="4.97"/>
    <n v="68.599999999999994"/>
    <n v="18.600000000000001"/>
    <n v="7.05"/>
    <n v="99.9"/>
    <n v="5930"/>
  </r>
  <r>
    <x v="0"/>
    <s v="2020-11-1849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0-11-23T00:00:00"/>
    <s v="nov"/>
    <x v="0"/>
    <n v="238"/>
    <n v="0.5"/>
    <n v="0.2"/>
    <n v="0.1"/>
    <n v="1.6"/>
    <n v="10"/>
    <n v="7.46"/>
    <n v="104.4"/>
    <n v="18.5"/>
    <n v="7.19"/>
    <n v="69.599999999999994"/>
    <n v="431.17"/>
  </r>
  <r>
    <x v="0"/>
    <s v="2020-11-1850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0-11-23T00:00:00"/>
    <s v="nov"/>
    <x v="0"/>
    <n v="239"/>
    <n v="0.7"/>
    <n v="0.3"/>
    <n v="0.2"/>
    <n v="14.7"/>
    <n v="49.4"/>
    <n v="6.12"/>
    <n v="85.1"/>
    <n v="19"/>
    <n v="7.06"/>
    <n v="130.5"/>
    <n v="967.65"/>
  </r>
  <r>
    <x v="0"/>
    <s v="2020-11-1851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0-11-23T00:00:00"/>
    <s v="nov"/>
    <x v="0"/>
    <n v="240"/>
    <n v="0.8"/>
    <n v="0.4"/>
    <n v="0.3"/>
    <n v="3.2"/>
    <n v="18.600000000000001"/>
    <n v="4.58"/>
    <n v="62.6"/>
    <n v="18.399999999999999"/>
    <n v="6.95"/>
    <n v="98.9"/>
    <n v="2100"/>
  </r>
  <r>
    <x v="0"/>
    <s v="2020-11-1852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0-11-23T00:00:00"/>
    <s v="nov"/>
    <x v="0"/>
    <n v="241"/>
    <n v="1.9"/>
    <n v="1.2"/>
    <n v="0.7"/>
    <n v="3.2"/>
    <n v="22.4"/>
    <n v="4.8099999999999996"/>
    <n v="65.8"/>
    <n v="18.5"/>
    <n v="7.09"/>
    <n v="213.9"/>
    <n v="2400"/>
  </r>
  <r>
    <x v="3"/>
    <s v="2022-06-0903"/>
    <x v="3"/>
    <s v="ESTACION CHARCOMANSO"/>
    <s v="LOT-200-RIO-200-RIO_NEGRO"/>
    <s v="Rionegro"/>
    <s v="R. 112-5304-2016 - Río Negro - Tramo: 3 - Río Negro"/>
    <x v="0"/>
    <s v="06°08'19,36&quot;"/>
    <s v="75°25'52,78&quot;"/>
    <d v="2022-06-08T00:00:00"/>
    <s v="jun"/>
    <x v="0"/>
    <n v="143"/>
    <n v="0.7"/>
    <n v="0.3"/>
    <n v="0.1"/>
    <n v="2"/>
    <n v="16.600000000000001"/>
    <n v="7.14"/>
    <n v="93.1"/>
    <n v="16.3"/>
    <n v="6.9249999999999998"/>
    <n v="48.95"/>
    <n v="12205.4"/>
  </r>
  <r>
    <x v="3"/>
    <s v="2022-11-2183"/>
    <x v="3"/>
    <s v="ESTACION CHARCOMANSO"/>
    <s v="LOT-200-RIO-200-RIO_NEGRO"/>
    <s v="Rionegro"/>
    <s v="R. 112-5304-2016 - Río Negro - Tramo: 3 - Río Negro"/>
    <x v="0"/>
    <s v="06°08'19,36&quot;"/>
    <s v="75°25'52,78&quot;"/>
    <d v="2022-11-23T00:00:00"/>
    <s v="nov"/>
    <x v="0"/>
    <n v="153"/>
    <n v="0.6"/>
    <n v="0.24"/>
    <n v="0.1"/>
    <n v="7.5"/>
    <n v="46.5"/>
    <n v="7.0650000000000004"/>
    <n v="95.85"/>
    <n v="19"/>
    <n v="6.98"/>
    <n v="45.45"/>
    <n v="11449.5"/>
  </r>
  <r>
    <x v="4"/>
    <s v="2023-02-0222"/>
    <x v="3"/>
    <s v="ESTACION CHARCOMANSO"/>
    <s v="LOT-200-RIO-200-RIO_NEGRO"/>
    <s v="Rionegro"/>
    <s v="R. 112-5304-2016 - Río Negro - Tramo: 3 - Río Negro"/>
    <x v="0"/>
    <s v="06°08'19,36&quot;"/>
    <s v="75°25'52,78&quot;"/>
    <d v="2023-02-28T00:00:00"/>
    <s v="feb"/>
    <x v="1"/>
    <n v="103"/>
    <n v="0.52"/>
    <n v="0.16"/>
    <n v="0.06"/>
    <n v="1.9"/>
    <n v="23.6"/>
    <n v="6.67"/>
    <n v="90.9"/>
    <n v="18.100000000000001"/>
    <n v="6.71"/>
    <n v="116.65"/>
    <n v="1318.7"/>
  </r>
  <r>
    <x v="4"/>
    <s v="2023-05-0707"/>
    <x v="3"/>
    <s v="ESTACION CHARCOMANSO"/>
    <s v="LOT-200-RIO-200-RIO_NEGRO"/>
    <s v="Rionegro"/>
    <s v="R. 112-5304-2016 - Río Negro - Tramo: 3 - Río Negro"/>
    <x v="0"/>
    <s v="06°08'19,36&quot;"/>
    <s v="75°25'52,78&quot;"/>
    <d v="2023-05-10T00:00:00"/>
    <s v="may"/>
    <x v="0"/>
    <n v="113"/>
    <n v="0.48"/>
    <n v="0.18"/>
    <n v="0.08"/>
    <n v="2"/>
    <n v="7.5"/>
    <n v="6.5449999999999999"/>
    <n v="90.55"/>
    <n v="18.7"/>
    <n v="6.66"/>
    <n v="113.35"/>
    <n v="1202.3"/>
  </r>
  <r>
    <x v="4"/>
    <s v="2023-11-2334"/>
    <x v="3"/>
    <s v="ESTACION CHARCOMANSO"/>
    <s v="LOT-200-RIO-200-RIO_NEGRO"/>
    <s v="Rionegro"/>
    <s v="R. 112-5304-2016 - Río Negro - Tramo: 3 - Río Negro"/>
    <x v="0"/>
    <s v="06°08'19,36&quot;"/>
    <s v="75°25'52,78&quot;"/>
    <d v="2023-11-22T00:00:00"/>
    <s v="nov"/>
    <x v="0"/>
    <n v="125"/>
    <n v="0.44"/>
    <n v="0.16"/>
    <n v="0.08"/>
    <n v="1.5"/>
    <n v="7.2"/>
    <n v="6.37"/>
    <n v="86"/>
    <n v="17.8"/>
    <n v="6.19"/>
    <n v="88.75"/>
    <s v="N.D."/>
  </r>
  <r>
    <x v="0"/>
    <s v="2020-11-1878"/>
    <x v="3"/>
    <s v="ROMERAL"/>
    <s v="LOT-085-GUA-100-LA_MOSCA"/>
    <s v="Guarne"/>
    <s v="R. 112-5304-2016 - Río Negro - Tramo: 12 - Quebrada La Mosca"/>
    <x v="2"/>
    <s v="06°18'32,19&quot;"/>
    <s v="75°27'33,70&quot;"/>
    <d v="2020-11-24T00:00:00"/>
    <s v="nov"/>
    <x v="0"/>
    <n v="246"/>
    <n v="0.7"/>
    <n v="0.4"/>
    <n v="0.2"/>
    <n v="1"/>
    <n v="10"/>
    <n v="8.0399999999999991"/>
    <n v="104.6"/>
    <n v="15.5"/>
    <n v="7.51"/>
    <n v="61.6"/>
    <n v="220.42"/>
  </r>
  <r>
    <x v="0"/>
    <s v="2020-11-1879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0-11-24T00:00:00"/>
    <s v="nov"/>
    <x v="0"/>
    <n v="247"/>
    <n v="0.6"/>
    <n v="0.3"/>
    <n v="0.2"/>
    <n v="1"/>
    <n v="10"/>
    <n v="7.91"/>
    <n v="103.7"/>
    <n v="16.100000000000001"/>
    <n v="7.28"/>
    <n v="65.599999999999994"/>
    <n v="495.38"/>
  </r>
  <r>
    <x v="0"/>
    <s v="2020-11-1880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0-11-24T00:00:00"/>
    <s v="nov"/>
    <x v="0"/>
    <n v="248"/>
    <n v="0.8"/>
    <n v="0.4"/>
    <n v="0.3"/>
    <n v="10.7"/>
    <n v="35.299999999999997"/>
    <n v="6.65"/>
    <n v="87.7"/>
    <n v="16.3"/>
    <n v="7.35"/>
    <n v="149.30000000000001"/>
    <n v="1984.8"/>
  </r>
  <r>
    <x v="0"/>
    <s v="2020-11-1881"/>
    <x v="3"/>
    <s v="OMYA"/>
    <s v="LOT-088-GUA-400-LA_MOSCA"/>
    <s v="Guarne"/>
    <s v="R. 112-5304-2016 - Río Negro - Tramo: 13 - Quebrada La Mosca"/>
    <x v="2"/>
    <s v="06°13'34,97&quot;"/>
    <s v="75°24'07,65&quot;"/>
    <d v="2020-11-24T00:00:00"/>
    <s v="nov"/>
    <x v="0"/>
    <n v="249"/>
    <n v="0.6"/>
    <n v="0.2"/>
    <n v="0.1"/>
    <n v="2.2000000000000002"/>
    <n v="10"/>
    <n v="6.1"/>
    <n v="81.7"/>
    <n v="17"/>
    <n v="7.08"/>
    <n v="96.7"/>
    <n v="4980"/>
  </r>
  <r>
    <x v="0"/>
    <s v="2020-11-1882"/>
    <x v="4"/>
    <s v="ESTACION RIOTEX"/>
    <s v="LOT-179-RIO-500-LA_MOSCA"/>
    <s v="Rionegro"/>
    <s v="R. 112-5304-2016 - Río Negro - Tramo: 13 - Quebrada La Mosca"/>
    <x v="2"/>
    <s v="06°10'51,60&quot;"/>
    <s v="75°22'00,15&quot;"/>
    <d v="2020-11-24T00:00:00"/>
    <s v="nov"/>
    <x v="0"/>
    <n v="250"/>
    <n v="0.8"/>
    <n v="0.4"/>
    <n v="0.2"/>
    <n v="3.9"/>
    <n v="22.5"/>
    <n v="5.76"/>
    <n v="79"/>
    <n v="17.899999999999999"/>
    <n v="6.98"/>
    <n v="106.2"/>
    <n v="5560"/>
  </r>
  <r>
    <x v="0"/>
    <s v="2020-11-188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0-11-24T00:00:00"/>
    <s v="nov"/>
    <x v="0"/>
    <n v="242"/>
    <n v="0.5"/>
    <n v="0.2"/>
    <n v="0.1"/>
    <n v="5"/>
    <n v="21.2"/>
    <n v="6.63"/>
    <n v="93.5"/>
    <n v="19.2"/>
    <n v="7.15"/>
    <n v="95.3"/>
    <n v="1460"/>
  </r>
  <r>
    <x v="0"/>
    <s v="2020-11-1885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0-11-24T00:00:00"/>
    <s v="nov"/>
    <x v="0"/>
    <n v="244"/>
    <n v="0.6"/>
    <n v="0.2"/>
    <n v="0.1"/>
    <n v="2.5"/>
    <n v="13.9"/>
    <n v="5.66"/>
    <n v="80.7"/>
    <n v="21.9"/>
    <n v="7.07"/>
    <n v="91.6"/>
    <n v="3600"/>
  </r>
  <r>
    <x v="0"/>
    <s v="2020-11-1886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0-11-24T00:00:00"/>
    <s v="nov"/>
    <x v="0"/>
    <n v="245"/>
    <n v="0.8"/>
    <n v="0.4"/>
    <n v="0.2"/>
    <n v="15.5"/>
    <n v="47.9"/>
    <n v="3.13"/>
    <n v="44.8"/>
    <n v="20.100000000000001"/>
    <n v="6.96"/>
    <n v="132.9"/>
    <n v="3910"/>
  </r>
  <r>
    <x v="1"/>
    <s v="2021-02-177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1-02-01T00:00:00"/>
    <s v="feb"/>
    <x v="1"/>
    <n v="261"/>
    <n v="0.54"/>
    <n v="0.3"/>
    <n v="0.2"/>
    <n v="2"/>
    <n v="19.7"/>
    <n v="6.73"/>
    <n v="99.4"/>
    <n v="19.8"/>
    <n v="7.02"/>
    <n v="79.2"/>
    <n v="240.54"/>
  </r>
  <r>
    <x v="1"/>
    <s v="2021-02-178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1-02-01T00:00:00"/>
    <s v="feb"/>
    <x v="1"/>
    <n v="262"/>
    <n v="2.2200000000000002"/>
    <n v="1.38"/>
    <n v="0.96"/>
    <n v="27.7"/>
    <n v="80.3"/>
    <n v="4.97"/>
    <n v="70.599999999999994"/>
    <n v="19.7"/>
    <n v="7.29"/>
    <n v="166.2"/>
    <n v="1025.8"/>
  </r>
  <r>
    <x v="1"/>
    <s v="2021-02-179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1-02-01T00:00:00"/>
    <s v="feb"/>
    <x v="1"/>
    <n v="263"/>
    <n v="0.64"/>
    <n v="0.28000000000000003"/>
    <n v="0.14000000000000001"/>
    <n v="3.5"/>
    <n v="16.7"/>
    <n v="4.4800000000000004"/>
    <n v="62.5"/>
    <n v="19.3"/>
    <n v="7.13"/>
    <n v="107.5"/>
    <n v="920.84"/>
  </r>
  <r>
    <x v="1"/>
    <s v="2021-02-180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1-02-01T00:00:00"/>
    <s v="feb"/>
    <x v="1"/>
    <n v="264"/>
    <n v="3.83"/>
    <n v="3.37"/>
    <n v="1.57"/>
    <n v="4.8"/>
    <n v="39.200000000000003"/>
    <n v="4.7300000000000004"/>
    <n v="63.4"/>
    <n v="19.399999999999999"/>
    <n v="7.25"/>
    <n v="306"/>
    <n v="1001.99"/>
  </r>
  <r>
    <x v="5"/>
    <s v="2024-02-0186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4-02-27T00:00:00"/>
    <s v="feb"/>
    <x v="1"/>
    <m/>
    <n v="0.66"/>
    <n v="0.26"/>
    <n v="0.14000000000000001"/>
    <n v="2.9"/>
    <n v="6.7"/>
    <n v="4.5049999999999999"/>
    <n v="63.5"/>
    <n v="19.399999999999999"/>
    <n v="6.8849999999999998"/>
    <n v="166.85"/>
    <s v="N.D."/>
  </r>
  <r>
    <x v="5"/>
    <s v="2024-06-0840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4-06-18T00:00:00"/>
    <s v="jun"/>
    <x v="0"/>
    <m/>
    <n v="0.62"/>
    <n v="0.3"/>
    <n v="0.18"/>
    <n v="1.8"/>
    <n v="21.9"/>
    <n v="6.4700000000000006"/>
    <n v="87.9"/>
    <n v="18.3"/>
    <n v="7.7649999999999997"/>
    <n v="63.05"/>
    <s v="N.D."/>
  </r>
  <r>
    <x v="5"/>
    <s v="2024-11-1988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4-11-26T00:00:00"/>
    <s v="nov"/>
    <x v="0"/>
    <m/>
    <n v="2.2000000000000002"/>
    <n v="1.7"/>
    <n v="1.6"/>
    <n v="1.5"/>
    <n v="13"/>
    <n v="6.55"/>
    <n v="87.4"/>
    <n v="17.600000000000001"/>
    <n v="6.7249999999999996"/>
    <n v="79.800000000000011"/>
    <s v="N.D."/>
  </r>
  <r>
    <x v="1"/>
    <s v=" 2021-07-1205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1-07-12T00:00:00"/>
    <s v="jul"/>
    <x v="0"/>
    <n v="300"/>
    <n v="0.4"/>
    <n v="0.2"/>
    <n v="0.1"/>
    <n v="3.8"/>
    <n v="2.5"/>
    <n v="6.15"/>
    <n v="84.3"/>
    <n v="17.5"/>
    <n v="6.35"/>
    <n v="61.6"/>
    <n v="2771.17"/>
  </r>
  <r>
    <x v="2"/>
    <s v="2019-11-2759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19-11-25T00:00:00"/>
    <s v="nov"/>
    <x v="0"/>
    <n v="164"/>
    <n v="0.3"/>
    <n v="0.1"/>
    <n v="0.1"/>
    <n v="1.3"/>
    <n v="11.9"/>
    <n v="6.43"/>
    <n v="89.6"/>
    <n v="18.7"/>
    <n v="7.15"/>
    <n v="52.6"/>
    <n v="7924.21"/>
  </r>
  <r>
    <x v="0"/>
    <s v="2020-02-0225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0-02-24T00:00:00"/>
    <s v="feb"/>
    <x v="1"/>
    <n v="187"/>
    <n v="0.3"/>
    <n v="0.1"/>
    <n v="0.1"/>
    <n v="3.1"/>
    <n v="22.5"/>
    <n v="6.05"/>
    <n v="82.8"/>
    <n v="18.399999999999999"/>
    <n v="7.2"/>
    <n v="47.6"/>
    <n v="1185.32"/>
  </r>
  <r>
    <x v="0"/>
    <s v="2020-08-1109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0-08-24T00:00:00"/>
    <s v="ago"/>
    <x v="0"/>
    <n v="210"/>
    <n v="0.8"/>
    <n v="0.2"/>
    <n v="0.1"/>
    <n v="2.6"/>
    <n v="24.9"/>
    <n v="5.76"/>
    <n v="80.5"/>
    <n v="18.7"/>
    <n v="6.18"/>
    <n v="62.3"/>
    <n v="11140"/>
  </r>
  <r>
    <x v="0"/>
    <s v="2020-11-1864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0-11-23T00:00:00"/>
    <s v="nov"/>
    <x v="0"/>
    <n v="231"/>
    <n v="0.7"/>
    <n v="0.3"/>
    <n v="0.2"/>
    <n v="2.1"/>
    <n v="10"/>
    <n v="6.37"/>
    <n v="86.8"/>
    <n v="18.3"/>
    <n v="6.83"/>
    <n v="60.5"/>
    <n v="11570"/>
  </r>
  <r>
    <x v="1"/>
    <s v="2021-02-208"/>
    <x v="3"/>
    <s v="ROMERAL"/>
    <s v="LOT-085-GUA-100-LA_MOSCA"/>
    <s v="Guarne"/>
    <s v="R. 112-5304-2016 - Río Negro - Tramo: 12 - Quebrada La Mosca"/>
    <x v="2"/>
    <s v="06°18'32,19&quot;"/>
    <s v="75°27'33,70&quot;"/>
    <d v="2021-02-02T00:00:00"/>
    <s v="feb"/>
    <x v="1"/>
    <n v="269"/>
    <n v="0.38"/>
    <n v="0.14000000000000001"/>
    <n v="0.06"/>
    <n v="0.7"/>
    <n v="10"/>
    <n v="7.5"/>
    <n v="98.3"/>
    <n v="15.7"/>
    <n v="7.24"/>
    <n v="85.6"/>
    <n v="74.319999999999993"/>
  </r>
  <r>
    <x v="1"/>
    <s v="2021-02-209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1-02-02T00:00:00"/>
    <s v="feb"/>
    <x v="1"/>
    <n v="270"/>
    <n v="0.32"/>
    <n v="0.1"/>
    <n v="0.06"/>
    <n v="1.3"/>
    <n v="10"/>
    <n v="7.38"/>
    <n v="97.3"/>
    <n v="16.399999999999999"/>
    <n v="7.11"/>
    <n v="78.900000000000006"/>
    <n v="225.47"/>
  </r>
  <r>
    <x v="1"/>
    <s v="2021-02-210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1-02-02T00:00:00"/>
    <s v="feb"/>
    <x v="1"/>
    <n v="271"/>
    <n v="0.7"/>
    <n v="0.34"/>
    <n v="0.2"/>
    <n v="14.4"/>
    <n v="33.1"/>
    <n v="3.95"/>
    <n v="53.8"/>
    <n v="17.899999999999999"/>
    <n v="7.47"/>
    <n v="239"/>
    <n v="708.23"/>
  </r>
  <r>
    <x v="1"/>
    <s v="2021-02-211"/>
    <x v="3"/>
    <s v="OMYA"/>
    <s v="LOT-088-GUA-400-LA_MOSCA"/>
    <s v="Guarne"/>
    <s v="R. 112-5304-2016 - Río Negro - Tramo: 13 - Quebrada La Mosca"/>
    <x v="2"/>
    <s v="06°13'34,97&quot;"/>
    <s v="75°24'07,65&quot;"/>
    <d v="2021-02-02T00:00:00"/>
    <s v="feb"/>
    <x v="1"/>
    <n v="272"/>
    <n v="0.56000000000000005"/>
    <n v="0.22"/>
    <n v="0.12"/>
    <n v="2.1"/>
    <n v="10"/>
    <n v="4.95"/>
    <n v="69"/>
    <n v="18.399999999999999"/>
    <n v="7.36"/>
    <n v="136"/>
    <n v="1197.48"/>
  </r>
  <r>
    <x v="1"/>
    <s v="2021-02-212"/>
    <x v="4"/>
    <s v="ESTACION RIOTEX"/>
    <s v="LOT-179-RIO-500-LA_MOSCA"/>
    <s v="Rionegro"/>
    <s v="R. 112-5304-2016 - Río Negro - Tramo: 13 - Quebrada La Mosca"/>
    <x v="2"/>
    <s v="06°10'51,60&quot;"/>
    <s v="75°22'00,15&quot;"/>
    <d v="2021-02-02T00:00:00"/>
    <s v="feb"/>
    <x v="1"/>
    <n v="273"/>
    <n v="0.86"/>
    <n v="0.54"/>
    <n v="0.36"/>
    <n v="8.4"/>
    <n v="23.5"/>
    <n v="3.36"/>
    <n v="47.7"/>
    <n v="19.2"/>
    <n v="7.04"/>
    <n v="196.4"/>
    <n v="1448.02"/>
  </r>
  <r>
    <x v="1"/>
    <s v="2021-02-21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1-02-02T00:00:00"/>
    <s v="feb"/>
    <x v="1"/>
    <n v="265"/>
    <n v="0.48"/>
    <n v="0.18"/>
    <n v="0.08"/>
    <n v="6.5"/>
    <n v="15.7"/>
    <n v="6.22"/>
    <n v="89.6"/>
    <n v="20.100000000000001"/>
    <n v="7.18"/>
    <n v="97.9"/>
    <n v="1089.42"/>
  </r>
  <r>
    <x v="1"/>
    <s v="2021-02-214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1-02-02T00:00:00"/>
    <s v="feb"/>
    <x v="1"/>
    <n v="266"/>
    <n v="0.64"/>
    <n v="0.24"/>
    <n v="0.12"/>
    <n v="9.6"/>
    <n v="17.899999999999999"/>
    <n v="5.18"/>
    <n v="73.3"/>
    <n v="20.9"/>
    <n v="7.21"/>
    <n v="101"/>
    <n v="1297.3800000000001"/>
  </r>
  <r>
    <x v="1"/>
    <s v="2021-02-215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1-02-02T00:00:00"/>
    <s v="feb"/>
    <x v="1"/>
    <n v="267"/>
    <n v="0.62"/>
    <n v="0.24"/>
    <n v="0.12"/>
    <n v="10.199999999999999"/>
    <n v="19.2"/>
    <n v="3.99"/>
    <n v="58.7"/>
    <n v="21.6"/>
    <n v="7.19"/>
    <n v="118.5"/>
    <n v="2363"/>
  </r>
  <r>
    <x v="1"/>
    <s v="2021-02-216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1-02-01T00:00:00"/>
    <s v="feb"/>
    <x v="1"/>
    <n v="268"/>
    <n v="0.92"/>
    <n v="0.42"/>
    <n v="0.26"/>
    <n v="24"/>
    <n v="41.8"/>
    <n v="1.74"/>
    <n v="25.3"/>
    <n v="20.8"/>
    <n v="7.22"/>
    <n v="155.5"/>
    <n v="2883.08"/>
  </r>
  <r>
    <x v="1"/>
    <s v="2021-02-191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1-02-01T00:00:00"/>
    <s v="feb"/>
    <x v="1"/>
    <n v="254"/>
    <n v="0.7"/>
    <n v="0.3"/>
    <n v="0.18"/>
    <n v="1.3"/>
    <n v="10"/>
    <n v="6.42"/>
    <n v="91.2"/>
    <n v="19.899999999999999"/>
    <n v="6.67"/>
    <n v="87.4"/>
    <n v="1112.5999999999999"/>
  </r>
  <r>
    <x v="1"/>
    <s v="2021-11-2218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1-11-29T00:00:00"/>
    <s v="nov"/>
    <x v="0"/>
    <n v="277"/>
    <n v="0.8"/>
    <n v="0.4"/>
    <n v="0.2"/>
    <n v="0.5"/>
    <n v="0.6"/>
    <n v="6.4"/>
    <n v="90.5"/>
    <n v="19.5"/>
    <n v="6.75"/>
    <n v="44.1"/>
    <s v="N.D."/>
  </r>
  <r>
    <x v="1"/>
    <s v="2021-07-1213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1-07-13T00:00:00"/>
    <s v="jul"/>
    <x v="0"/>
    <n v="307"/>
    <n v="0.5"/>
    <n v="0.3"/>
    <n v="0.1"/>
    <n v="1"/>
    <n v="10"/>
    <n v="7.87"/>
    <n v="101.9"/>
    <n v="15.5"/>
    <n v="7.02"/>
    <n v="59.2"/>
    <n v="1053.6400000000001"/>
  </r>
  <r>
    <x v="1"/>
    <s v="2021-07-1214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1-07-13T00:00:00"/>
    <s v="jul"/>
    <x v="0"/>
    <n v="308"/>
    <n v="0.5"/>
    <n v="0.2"/>
    <n v="0.1"/>
    <n v="13.5"/>
    <n v="35.799999999999997"/>
    <n v="7.18"/>
    <n v="95.2"/>
    <n v="17"/>
    <n v="7.08"/>
    <n v="99.1"/>
    <n v="1814.17"/>
  </r>
  <r>
    <x v="1"/>
    <s v="2021-07-1215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1-07-13T00:00:00"/>
    <s v="jul"/>
    <x v="0"/>
    <n v="309"/>
    <n v="1.1000000000000001"/>
    <n v="0.6"/>
    <n v="0.4"/>
    <n v="9.6"/>
    <n v="37.200000000000003"/>
    <n v="6.32"/>
    <n v="84.9"/>
    <n v="17.899999999999999"/>
    <n v="6.89"/>
    <n v="64"/>
    <n v="1185.9000000000001"/>
  </r>
  <r>
    <x v="1"/>
    <s v="2021-07-1216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1-07-13T00:00:00"/>
    <s v="jul"/>
    <x v="0"/>
    <n v="310"/>
    <n v="1"/>
    <n v="0.7"/>
    <n v="0.2"/>
    <n v="11.5"/>
    <n v="29.4"/>
    <n v="6.09"/>
    <n v="83.6"/>
    <n v="18.600000000000001"/>
    <n v="7.05"/>
    <n v="118.2"/>
    <n v="1659.64"/>
  </r>
  <r>
    <x v="1"/>
    <s v="2021-11-2204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1-11-29T00:00:00"/>
    <s v="nov"/>
    <x v="0"/>
    <n v="288"/>
    <n v="0.94"/>
    <n v="0.5"/>
    <n v="0.32"/>
    <n v="4.9000000000000004"/>
    <n v="54.2"/>
    <n v="6.18"/>
    <n v="179.7"/>
    <n v="21"/>
    <n v="6.9"/>
    <n v="91.15"/>
    <s v="N.D."/>
  </r>
  <r>
    <x v="1"/>
    <s v="2021-11-2205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1-11-29T00:00:00"/>
    <s v="nov"/>
    <x v="0"/>
    <n v="289"/>
    <n v="1.3"/>
    <n v="0.7"/>
    <n v="0.5"/>
    <n v="2.4"/>
    <n v="22.6"/>
    <n v="5.36"/>
    <n v="76.8"/>
    <n v="20"/>
    <n v="6.93"/>
    <n v="108.5"/>
    <s v="N.D."/>
  </r>
  <r>
    <x v="1"/>
    <s v="2021-11-2206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1-11-29T00:00:00"/>
    <s v="nov"/>
    <x v="0"/>
    <n v="290"/>
    <n v="0.94"/>
    <n v="0.44"/>
    <n v="0.26"/>
    <n v="2.2999999999999998"/>
    <n v="22.6"/>
    <n v="5.52"/>
    <n v="78.3"/>
    <n v="20"/>
    <n v="6.9"/>
    <n v="103.3"/>
    <s v="N.D."/>
  </r>
  <r>
    <x v="1"/>
    <s v="2021-11-2207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1-11-29T00:00:00"/>
    <s v="nov"/>
    <x v="0"/>
    <n v="291"/>
    <n v="1.56"/>
    <n v="0.87"/>
    <n v="0.59"/>
    <n v="6"/>
    <n v="38.299999999999997"/>
    <n v="4.8600000000000003"/>
    <n v="68.75"/>
    <n v="19.399999999999999"/>
    <n v="6.86"/>
    <n v="117.75"/>
    <s v="N.D."/>
  </r>
  <r>
    <x v="3"/>
    <s v="2022-02-0216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2-02-22T00:00:00"/>
    <s v="feb"/>
    <x v="1"/>
    <n v="134"/>
    <n v="1.1000000000000001"/>
    <n v="0.4"/>
    <n v="0.2"/>
    <n v="4.7"/>
    <n v="34.200000000000003"/>
    <n v="6.46"/>
    <n v="88.4"/>
    <n v="18.2"/>
    <n v="6.4349999999999996"/>
    <n v="57.55"/>
    <n v="6680.5"/>
  </r>
  <r>
    <x v="3"/>
    <s v="2022-06-0904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2-06-08T00:00:00"/>
    <s v="jun"/>
    <x v="0"/>
    <n v="144"/>
    <n v="0.6"/>
    <n v="0.2"/>
    <n v="0.1"/>
    <n v="2.2000000000000002"/>
    <n v="17.5"/>
    <n v="6.79"/>
    <n v="90.65"/>
    <n v="17.100000000000001"/>
    <n v="6.9"/>
    <n v="50"/>
    <n v="15116.6"/>
  </r>
  <r>
    <x v="3"/>
    <s v="2022-11-2184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2-11-23T00:00:00"/>
    <s v="nov"/>
    <x v="0"/>
    <n v="154"/>
    <n v="0.62"/>
    <n v="0.24"/>
    <n v="0.1"/>
    <n v="5.2"/>
    <n v="37.6"/>
    <n v="6.59"/>
    <n v="92.15"/>
    <n v="18.600000000000001"/>
    <n v="6.7149999999999999"/>
    <n v="47.85"/>
    <n v="12058.4"/>
  </r>
  <r>
    <x v="4"/>
    <s v="2023-02-0223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3-02-28T00:00:00"/>
    <s v="feb"/>
    <x v="1"/>
    <n v="104"/>
    <n v="0.62"/>
    <n v="0.2"/>
    <n v="0.08"/>
    <n v="1.6"/>
    <n v="13.8"/>
    <n v="5.8550000000000004"/>
    <n v="83.75"/>
    <n v="20.2"/>
    <n v="6.59"/>
    <n v="111.5"/>
    <n v="1705"/>
  </r>
  <r>
    <x v="4"/>
    <s v="2023-05-0708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3-05-10T00:00:00"/>
    <s v="may"/>
    <x v="0"/>
    <n v="114"/>
    <n v="0.42"/>
    <n v="0.12"/>
    <n v="0.04"/>
    <n v="1.2"/>
    <n v="6.9"/>
    <n v="6.4950000000000001"/>
    <n v="93.35"/>
    <n v="19.899999999999999"/>
    <n v="6.7149999999999999"/>
    <n v="110.75"/>
    <n v="2150"/>
  </r>
  <r>
    <x v="4"/>
    <s v="2023-11-2335"/>
    <x v="5"/>
    <s v="ESTACION BOCATOMA MUNICIPIO DE RIONEGRO"/>
    <s v="LOT-201-RIO-300-RIO_NEGRO"/>
    <s v="Rionegro"/>
    <s v="R. 112-5304-2016 - Río Negro - Tramo: 3 - Río Negro"/>
    <x v="0"/>
    <s v="06°08'53,96&quot;"/>
    <s v="75°23'34,13&quot;"/>
    <d v="2023-11-22T00:00:00"/>
    <s v="nov"/>
    <x v="0"/>
    <n v="126"/>
    <n v="0.32"/>
    <n v="0.1"/>
    <n v="0.04"/>
    <n v="2.1"/>
    <n v="7.2"/>
    <n v="5.94"/>
    <n v="84.15"/>
    <n v="20"/>
    <n v="6.6349999999999998"/>
    <n v="85.55"/>
    <s v="N.D."/>
  </r>
  <r>
    <x v="5"/>
    <s v="2024-02-0187"/>
    <x v="6"/>
    <s v="ESTACION PUENTE REAL"/>
    <s v="LOT-202-RIO-400-RIO_NEGRO"/>
    <s v="Rionegro"/>
    <s v="R. 112-5304-2016 - Río Negro - Tramo: 4 - Río Negro"/>
    <x v="0"/>
    <s v="06°08'36,14&quot;"/>
    <s v="75°22'47,61&quot;"/>
    <d v="2024-02-27T00:00:00"/>
    <s v="feb"/>
    <x v="1"/>
    <m/>
    <n v="1.1000000000000001"/>
    <n v="0.54"/>
    <n v="0.32"/>
    <n v="2.8"/>
    <n v="8.6999999999999993"/>
    <n v="5.1099999999999994"/>
    <n v="72.449999999999989"/>
    <n v="19.899999999999999"/>
    <n v="7.0350000000000001"/>
    <n v="160.80000000000001"/>
    <s v="N.D."/>
  </r>
  <r>
    <x v="5"/>
    <s v="2024-06-0841"/>
    <x v="6"/>
    <s v="ESTACION PUENTE REAL"/>
    <s v="LOT-202-RIO-400-RIO_NEGRO"/>
    <s v="Rionegro"/>
    <s v="R. 112-5304-2016 - Río Negro - Tramo: 4 - Río Negro"/>
    <x v="0"/>
    <s v="06°08'36,14&quot;"/>
    <s v="75°22'47,61&quot;"/>
    <d v="2024-06-18T00:00:00"/>
    <s v="jun"/>
    <x v="0"/>
    <m/>
    <n v="0.66"/>
    <n v="0.3"/>
    <n v="0.18"/>
    <n v="2"/>
    <n v="17.3"/>
    <n v="6.3049999999999997"/>
    <n v="87.1"/>
    <n v="18.8"/>
    <n v="7.3949999999999996"/>
    <n v="66.900000000000006"/>
    <s v="N.D."/>
  </r>
  <r>
    <x v="1"/>
    <s v="2021-11-2224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1-11-29T00:00:00"/>
    <s v="nov"/>
    <x v="0"/>
    <n v="284"/>
    <n v="0.5"/>
    <n v="0.22"/>
    <n v="0.12"/>
    <n v="0"/>
    <n v="1.7"/>
    <n v="6.99"/>
    <n v="96.9"/>
    <n v="18.399999999999999"/>
    <n v="6.94"/>
    <n v="62.95"/>
    <n v="547.82000000000005"/>
  </r>
  <r>
    <x v="1"/>
    <s v="2021-11-2225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1-11-29T00:00:00"/>
    <s v="nov"/>
    <x v="0"/>
    <n v="285"/>
    <n v="1.04"/>
    <n v="0.56000000000000005"/>
    <n v="0.38"/>
    <n v="8.3000000000000007"/>
    <n v="25.4"/>
    <n v="5.93"/>
    <n v="82.9"/>
    <n v="19"/>
    <n v="6.95"/>
    <n v="110.3"/>
    <n v="1438.98"/>
  </r>
  <r>
    <x v="1"/>
    <s v="2021-11-2226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1-11-29T00:00:00"/>
    <s v="nov"/>
    <x v="0"/>
    <n v="286"/>
    <n v="0.8"/>
    <n v="0.3"/>
    <n v="0.2"/>
    <n v="0.7"/>
    <n v="15.2"/>
    <n v="4.7"/>
    <n v="66.099999999999994"/>
    <n v="19.600000000000001"/>
    <n v="6.68"/>
    <n v="77.900000000000006"/>
    <s v="N.D."/>
  </r>
  <r>
    <x v="1"/>
    <s v="2021-11-2227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1-11-29T00:00:00"/>
    <s v="nov"/>
    <x v="0"/>
    <n v="287"/>
    <n v="1.98"/>
    <n v="1.33"/>
    <n v="0.8"/>
    <n v="1.7"/>
    <n v="20.9"/>
    <n v="4.5999999999999996"/>
    <n v="64.599999999999994"/>
    <n v="19.600000000000001"/>
    <n v="6.83"/>
    <n v="169.5"/>
    <s v="N.D."/>
  </r>
  <r>
    <x v="1"/>
    <s v="2021-11-2228"/>
    <x v="3"/>
    <s v="ROMERAL"/>
    <s v="LOT-085-GUA-100-LA_MOSCA"/>
    <s v="Guarne"/>
    <s v="R. 112-5304-2016 - Río Negro - Tramo: 12 - Quebrada La Mosca"/>
    <x v="2"/>
    <s v="06°18'32,19&quot;"/>
    <s v="75°27'33,70&quot;"/>
    <d v="2021-11-29T00:00:00"/>
    <s v="nov"/>
    <x v="0"/>
    <n v="292"/>
    <n v="0.8"/>
    <n v="0.38"/>
    <n v="0.22"/>
    <n v="0.1"/>
    <n v="0"/>
    <n v="7.43"/>
    <n v="100.4"/>
    <n v="17"/>
    <n v="7.22"/>
    <n v="50.45"/>
    <n v="355.31"/>
  </r>
  <r>
    <x v="1"/>
    <s v="2021-11-2229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1-11-29T00:00:00"/>
    <s v="nov"/>
    <x v="0"/>
    <n v="293"/>
    <n v="0.68"/>
    <n v="0.32"/>
    <n v="0.18"/>
    <n v="0.1"/>
    <n v="0"/>
    <n v="7.2"/>
    <n v="98.7"/>
    <n v="17.3"/>
    <n v="7.8"/>
    <n v="58.1"/>
    <n v="798.84"/>
  </r>
  <r>
    <x v="1"/>
    <s v="2021-11-2230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1-11-29T00:00:00"/>
    <s v="nov"/>
    <x v="0"/>
    <n v="294"/>
    <n v="1.1000000000000001"/>
    <n v="0.57999999999999996"/>
    <n v="0.36"/>
    <n v="3.3"/>
    <n v="10.7"/>
    <n v="6.68"/>
    <n v="90.4"/>
    <n v="17.7"/>
    <n v="7.28"/>
    <n v="130.1"/>
    <s v="N.D."/>
  </r>
  <r>
    <x v="1"/>
    <s v="2021-11-2231"/>
    <x v="3"/>
    <s v="OMYA"/>
    <s v="LOT-088-GUA-400-LA_MOSCA"/>
    <s v="Guarne"/>
    <s v="R. 112-5304-2016 - Río Negro - Tramo: 13 - Quebrada La Mosca"/>
    <x v="2"/>
    <s v="06°13'34,97&quot;"/>
    <s v="75°24'07,65&quot;"/>
    <d v="2021-11-29T00:00:00"/>
    <s v="nov"/>
    <x v="0"/>
    <n v="295"/>
    <n v="1.02"/>
    <n v="0.52"/>
    <n v="0.32"/>
    <n v="2"/>
    <n v="6.2"/>
    <n v="6.15"/>
    <n v="83.8"/>
    <n v="18"/>
    <n v="6.93"/>
    <n v="93.7"/>
    <s v="N.D."/>
  </r>
  <r>
    <x v="1"/>
    <s v="2021-11-2232"/>
    <x v="4"/>
    <s v="ESTACION RIOTEX"/>
    <s v="LOT-179-RIO-500-LA_MOSCA"/>
    <s v="Rionegro"/>
    <s v="R. 112-5304-2016 - Río Negro - Tramo: 13 - Quebrada La Mosca"/>
    <x v="2"/>
    <s v="06°10'51,60&quot;"/>
    <s v="75°22'00,15&quot;"/>
    <d v="2021-11-29T00:00:00"/>
    <s v="nov"/>
    <x v="0"/>
    <n v="296"/>
    <n v="1.3"/>
    <n v="0.6"/>
    <n v="0.4"/>
    <n v="3.9"/>
    <n v="23.1"/>
    <n v="5.54"/>
    <n v="75.3"/>
    <n v="18.600000000000001"/>
    <n v="6.78"/>
    <n v="89.9"/>
    <s v="N.D."/>
  </r>
  <r>
    <x v="5"/>
    <s v="2024-11-1989"/>
    <x v="6"/>
    <s v="ESTACION PUENTE REAL"/>
    <s v="LOT-202-RIO-400-RIO_NEGRO"/>
    <s v="Rionegro"/>
    <s v="R. 112-5304-2016 - Río Negro - Tramo: 4 - Río Negro"/>
    <x v="0"/>
    <s v="06°08'36,14&quot;"/>
    <s v="75°22'47,61&quot;"/>
    <d v="2024-11-26T00:00:00"/>
    <s v="nov"/>
    <x v="0"/>
    <m/>
    <n v="1.6"/>
    <n v="1.26"/>
    <n v="1.1200000000000001"/>
    <n v="1.8"/>
    <n v="12.8"/>
    <n v="6.415"/>
    <n v="88.65"/>
    <n v="17.899999999999999"/>
    <n v="6.6850000000000005"/>
    <n v="71.05"/>
    <s v="N.D."/>
  </r>
  <r>
    <x v="0"/>
    <s v=" 2020-08-1110 "/>
    <x v="6"/>
    <s v="ESTACION PUENTE REAL"/>
    <s v="LOT-202-RIO-400-RIO_NEGRO"/>
    <s v="Rionegro"/>
    <s v="R. 112-5304-2016 - Río Negro - Tramo: 4 - Río Negro"/>
    <x v="0"/>
    <s v="06°08'36,14&quot;"/>
    <s v="75°22'47,61&quot;"/>
    <d v="2020-08-24T00:00:00"/>
    <s v="ago"/>
    <x v="0"/>
    <n v="211"/>
    <n v="0.9"/>
    <n v="0.2"/>
    <n v="0.1"/>
    <n v="4.7"/>
    <n v="64.900000000000006"/>
    <n v="5.78"/>
    <n v="79.900000000000006"/>
    <n v="19"/>
    <n v="6.63"/>
    <n v="68.8"/>
    <n v="21200"/>
  </r>
  <r>
    <x v="0"/>
    <s v=" 2020-11-1865 "/>
    <x v="6"/>
    <s v="ESTACION PUENTE REAL"/>
    <s v="LOT-202-RIO-400-RIO_NEGRO"/>
    <s v="Rionegro"/>
    <s v="R. 112-5304-2016 - Río Negro - Tramo: 4 - Río Negro"/>
    <x v="0"/>
    <s v="06°08'36,14&quot;"/>
    <s v="75°22'47,61&quot;"/>
    <d v="2020-11-23T00:00:00"/>
    <s v="nov"/>
    <x v="0"/>
    <n v="232"/>
    <n v="0.9"/>
    <n v="0.4"/>
    <n v="0.2"/>
    <n v="2.2999999999999998"/>
    <n v="23.3"/>
    <n v="5.77"/>
    <n v="86.7"/>
    <n v="23"/>
    <n v="6.78"/>
    <n v="62.4"/>
    <n v="20210"/>
  </r>
  <r>
    <x v="1"/>
    <s v=" 2021-07-1206 "/>
    <x v="6"/>
    <s v="ESTACION PUENTE REAL"/>
    <s v="LOT-202-RIO-400-RIO_NEGRO"/>
    <s v="Rionegro"/>
    <s v="R. 112-5304-2016 - Río Negro - Tramo: 4 - Río Negro"/>
    <x v="0"/>
    <s v="06°08'36,14&quot;"/>
    <s v="75°22'47,61&quot;"/>
    <d v="2021-07-12T00:00:00"/>
    <s v="jul"/>
    <x v="0"/>
    <n v="301"/>
    <n v="0.3"/>
    <n v="0.1"/>
    <n v="0.1"/>
    <n v="5.8"/>
    <n v="10"/>
    <n v="5.81"/>
    <n v="88.1"/>
    <n v="21"/>
    <n v="7.28"/>
    <n v="65.900000000000006"/>
    <n v="5278.37"/>
  </r>
  <r>
    <x v="2"/>
    <s v="2019-11-2757"/>
    <x v="6"/>
    <s v="ESTACION PUENTE REAL"/>
    <s v="LOT-202-RIO-400-RIO_NEGRO"/>
    <s v="Rionegro"/>
    <s v="R. 112-5304-2016 - Río Negro - Tramo: 4 - Río Negro"/>
    <x v="0"/>
    <s v="06°08'36,14&quot;"/>
    <s v="75°22'47,61&quot;"/>
    <d v="2019-11-25T00:00:00"/>
    <s v="nov"/>
    <x v="0"/>
    <n v="165"/>
    <n v="0.4"/>
    <n v="0.1"/>
    <n v="0.1"/>
    <n v="4.4000000000000004"/>
    <n v="18.7"/>
    <n v="6.32"/>
    <n v="88.7"/>
    <n v="20"/>
    <n v="7.2"/>
    <n v="63.7"/>
    <n v="18103.03"/>
  </r>
  <r>
    <x v="0"/>
    <s v="2020-02-0223"/>
    <x v="6"/>
    <s v="ESTACION PUENTE REAL"/>
    <s v="LOT-202-RIO-400-RIO_NEGRO"/>
    <s v="Rionegro"/>
    <s v="R. 112-5304-2016 - Río Negro - Tramo: 4 - Río Negro"/>
    <x v="0"/>
    <s v="06°08'36,14&quot;"/>
    <s v="75°22'47,61&quot;"/>
    <d v="2020-02-24T00:00:00"/>
    <s v="feb"/>
    <x v="1"/>
    <n v="188"/>
    <n v="0.4"/>
    <n v="0.2"/>
    <n v="0.1"/>
    <n v="4.5999999999999996"/>
    <n v="29.8"/>
    <n v="5.55"/>
    <n v="75.3"/>
    <n v="18.2"/>
    <n v="7.33"/>
    <n v="104.2"/>
    <n v="2593.9"/>
  </r>
  <r>
    <x v="1"/>
    <s v="2021-02-192"/>
    <x v="6"/>
    <s v="ESTACION PUENTE REAL"/>
    <s v="LOT-202-RIO-400-RIO_NEGRO"/>
    <s v="Rionegro"/>
    <s v="R. 112-5304-2016 - Río Negro - Tramo: 4 - Río Negro"/>
    <x v="0"/>
    <s v="06°08'36,14&quot;"/>
    <s v="75°22'47,61&quot;"/>
    <d v="2021-02-01T00:00:00"/>
    <s v="feb"/>
    <x v="1"/>
    <n v="255"/>
    <n v="0.8"/>
    <n v="0.3"/>
    <n v="0.14000000000000001"/>
    <n v="2.1"/>
    <n v="10"/>
    <n v="7.21"/>
    <n v="103.6"/>
    <n v="20.399999999999999"/>
    <n v="7.03"/>
    <n v="93.3"/>
    <n v="1556.25"/>
  </r>
  <r>
    <x v="1"/>
    <s v="2021-11-2219"/>
    <x v="6"/>
    <s v="ESTACION PUENTE REAL"/>
    <s v="LOT-202-RIO-400-RIO_NEGRO"/>
    <s v="Rionegro"/>
    <s v="R. 112-5304-2016 - Río Negro - Tramo: 4 - Río Negro"/>
    <x v="0"/>
    <s v="06°08'36,14&quot;"/>
    <s v="75°22'47,61&quot;"/>
    <d v="2021-11-29T00:00:00"/>
    <s v="nov"/>
    <x v="0"/>
    <n v="278"/>
    <n v="0.9"/>
    <n v="0.5"/>
    <n v="0.3"/>
    <n v="0.6"/>
    <n v="0"/>
    <n v="6.39"/>
    <n v="89.3"/>
    <n v="19.5"/>
    <n v="6.66"/>
    <n v="44.9"/>
    <s v="N.D."/>
  </r>
  <r>
    <x v="3"/>
    <s v="2022-02-0217"/>
    <x v="6"/>
    <s v="ESTACION PUENTE REAL"/>
    <s v="LOT-202-RIO-400-RIO_NEGRO"/>
    <s v="Rionegro"/>
    <s v="R. 112-5304-2016 - Río Negro - Tramo: 4 - Río Negro"/>
    <x v="0"/>
    <s v="06°08'36,14&quot;"/>
    <s v="75°22'47,61&quot;"/>
    <d v="2022-02-22T00:00:00"/>
    <s v="feb"/>
    <x v="1"/>
    <n v="135"/>
    <n v="1.1000000000000001"/>
    <n v="0.4"/>
    <n v="0.2"/>
    <n v="4"/>
    <n v="23"/>
    <n v="6.51"/>
    <n v="90.25"/>
    <n v="19.100000000000001"/>
    <n v="6.9649999999999999"/>
    <n v="63.3"/>
    <n v="7895.5"/>
  </r>
  <r>
    <x v="3"/>
    <s v="2022-06-0905"/>
    <x v="6"/>
    <s v="ESTACION PUENTE REAL"/>
    <s v="LOT-202-RIO-400-RIO_NEGRO"/>
    <s v="Rionegro"/>
    <s v="R. 112-5304-2016 - Río Negro - Tramo: 4 - Río Negro"/>
    <x v="0"/>
    <s v="06°08'36,14&quot;"/>
    <s v="75°22'47,61&quot;"/>
    <d v="2022-06-08T00:00:00"/>
    <s v="jun"/>
    <x v="0"/>
    <n v="145"/>
    <n v="0.6"/>
    <n v="0.3"/>
    <n v="0.2"/>
    <n v="2.2999999999999998"/>
    <n v="15.9"/>
    <n v="6.8550000000000004"/>
    <n v="91.2"/>
    <n v="17"/>
    <n v="6.95"/>
    <n v="52.9"/>
    <n v="21383.7"/>
  </r>
  <r>
    <x v="3"/>
    <s v="2022-11-2185"/>
    <x v="6"/>
    <s v="ESTACION PUENTE REAL"/>
    <s v="LOT-202-RIO-400-RIO_NEGRO"/>
    <s v="Rionegro"/>
    <s v="R. 112-5304-2016 - Río Negro - Tramo: 4 - Río Negro"/>
    <x v="0"/>
    <s v="06°08'36,14&quot;"/>
    <s v="75°22'47,61&quot;"/>
    <d v="2022-11-23T00:00:00"/>
    <s v="nov"/>
    <x v="0"/>
    <n v="155"/>
    <n v="0.81"/>
    <n v="0.4"/>
    <n v="0.23"/>
    <n v="5.0999999999999996"/>
    <n v="45.8"/>
    <n v="6.75"/>
    <n v="92"/>
    <n v="18.100000000000001"/>
    <n v="6.77"/>
    <n v="51.9"/>
    <s v="N.D."/>
  </r>
  <r>
    <x v="4"/>
    <s v="2023-02-0224"/>
    <x v="6"/>
    <s v="ESTACION PUENTE REAL"/>
    <s v="LOT-202-RIO-400-RIO_NEGRO"/>
    <s v="Rionegro"/>
    <s v="R. 112-5304-2016 - Río Negro - Tramo: 4 - Río Negro"/>
    <x v="0"/>
    <s v="06°08'36,14&quot;"/>
    <s v="75°22'47,61&quot;"/>
    <d v="2023-02-28T00:00:00"/>
    <s v="feb"/>
    <x v="1"/>
    <n v="105"/>
    <n v="0.76"/>
    <n v="0.28000000000000003"/>
    <n v="0.12"/>
    <n v="3.4"/>
    <n v="18.100000000000001"/>
    <n v="7.84"/>
    <n v="117.7"/>
    <n v="22.6"/>
    <n v="7.46"/>
    <n v="122.35"/>
    <s v="N.D."/>
  </r>
  <r>
    <x v="3"/>
    <s v="2022-03-0240"/>
    <x v="3"/>
    <s v="ROMERAL"/>
    <s v="LOT-085-GUA-100-LA_MOSCA"/>
    <s v="Guarne"/>
    <s v="R. 112-5304-2016 - Río Negro - Tramo: 12 - Quebrada La Mosca"/>
    <x v="2"/>
    <s v="06°18'32,19&quot;"/>
    <s v="75°27'33,70&quot;"/>
    <d v="2022-03-01T00:00:00"/>
    <s v="mar"/>
    <x v="1"/>
    <n v="53"/>
    <n v="0.36"/>
    <n v="0.1"/>
    <n v="0.04"/>
    <n v="1.8"/>
    <n v="9.6999999999999993"/>
    <n v="7.37"/>
    <n v="96.85"/>
    <n v="16"/>
    <n v="7.19"/>
    <n v="73.45"/>
    <n v="225.5"/>
  </r>
  <r>
    <x v="3"/>
    <s v="2022-03-0241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2-03-01T00:00:00"/>
    <s v="mar"/>
    <x v="1"/>
    <n v="54"/>
    <n v="0.42"/>
    <n v="0.14000000000000001"/>
    <n v="0.04"/>
    <n v="1.7"/>
    <n v="7"/>
    <n v="7.2750000000000004"/>
    <n v="95.7"/>
    <n v="16.100000000000001"/>
    <n v="6.97"/>
    <n v="67.400000000000006"/>
    <n v="413"/>
  </r>
  <r>
    <x v="3"/>
    <s v="2022-03-0242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2-03-01T00:00:00"/>
    <s v="mar"/>
    <x v="1"/>
    <n v="55"/>
    <n v="0.66"/>
    <n v="0.26"/>
    <n v="0.14000000000000001"/>
    <n v="10.199999999999999"/>
    <n v="32"/>
    <n v="6.6050000000000004"/>
    <n v="87.2"/>
    <n v="16.899999999999999"/>
    <n v="7.29"/>
    <n v="128.55000000000001"/>
    <n v="1295.7"/>
  </r>
  <r>
    <x v="3"/>
    <s v="2022-03-0243"/>
    <x v="3"/>
    <s v="OMYA"/>
    <s v="LOT-088-GUA-400-LA_MOSCA"/>
    <s v="Guarne"/>
    <s v="R. 112-5304-2016 - Río Negro - Tramo: 13 - Quebrada La Mosca"/>
    <x v="2"/>
    <s v="06°13'34,97&quot;"/>
    <s v="75°24'07,65&quot;"/>
    <d v="2022-03-01T00:00:00"/>
    <s v="mar"/>
    <x v="1"/>
    <n v="56"/>
    <n v="0.66"/>
    <n v="0.28000000000000003"/>
    <n v="0.14000000000000001"/>
    <n v="4.8"/>
    <n v="20.9"/>
    <n v="5.8650000000000002"/>
    <n v="77.05"/>
    <n v="16.5"/>
    <n v="7.19"/>
    <n v="97.95"/>
    <n v="3373.7"/>
  </r>
  <r>
    <x v="3"/>
    <s v="2022-03-0244"/>
    <x v="4"/>
    <s v="ESTACION RIOTEX"/>
    <s v="LOT-179-RIO-500-LA_MOSCA"/>
    <s v="Rionegro"/>
    <s v="R. 112-5304-2016 - Río Negro - Tramo: 13 - Quebrada La Mosca"/>
    <x v="2"/>
    <s v="06°10'51,60&quot;"/>
    <s v="75°22'00,15&quot;"/>
    <d v="2022-03-01T00:00:00"/>
    <s v="mar"/>
    <x v="1"/>
    <n v="57"/>
    <n v="1.56"/>
    <n v="0.76"/>
    <n v="0.57999999999999996"/>
    <n v="11.1"/>
    <n v="37.6"/>
    <n v="5.56"/>
    <n v="73.900000000000006"/>
    <n v="17.100000000000001"/>
    <n v="7.09"/>
    <n v="102.2"/>
    <n v="3912.9"/>
  </r>
  <r>
    <x v="3"/>
    <s v="2022-03-0248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2-03-01T00:00:00"/>
    <s v="mar"/>
    <x v="1"/>
    <n v="58"/>
    <n v="0.98"/>
    <n v="0.4"/>
    <n v="0.24"/>
    <n v="7"/>
    <n v="18.100000000000001"/>
    <n v="6.06"/>
    <n v="87.45"/>
    <n v="19.7"/>
    <n v="7.21"/>
    <n v="102.5"/>
    <n v="1065.7"/>
  </r>
  <r>
    <x v="3"/>
    <s v="2022-03-0249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2-03-01T00:00:00"/>
    <s v="mar"/>
    <x v="1"/>
    <n v="59"/>
    <n v="0.76"/>
    <n v="0.32"/>
    <n v="0.16"/>
    <n v="6.8"/>
    <n v="23.7"/>
    <n v="5.01"/>
    <n v="69.05"/>
    <n v="18.8"/>
    <n v="7.1550000000000002"/>
    <n v="106.6"/>
    <n v="2609.4"/>
  </r>
  <r>
    <x v="3"/>
    <s v="2022-03-0250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2-03-01T00:00:00"/>
    <s v="mar"/>
    <x v="1"/>
    <n v="60"/>
    <n v="0.98"/>
    <n v="0.44"/>
    <n v="0.24"/>
    <n v="9.1"/>
    <n v="20.9"/>
    <n v="4.3849999999999998"/>
    <n v="59.8"/>
    <n v="18.600000000000001"/>
    <n v="7.12"/>
    <n v="108.7"/>
    <n v="2572.4"/>
  </r>
  <r>
    <x v="3"/>
    <s v="2022-03-0251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2-03-01T00:00:00"/>
    <s v="mar"/>
    <x v="1"/>
    <n v="61"/>
    <n v="3.32"/>
    <n v="1.82"/>
    <n v="1.22"/>
    <n v="68.3"/>
    <n v="121.1"/>
    <n v="1.885"/>
    <n v="25.75"/>
    <n v="18.100000000000001"/>
    <n v="7.085"/>
    <n v="151.75"/>
    <n v="3837.2"/>
  </r>
  <r>
    <x v="3"/>
    <s v="2022-03-0260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2-03-01T00:00:00"/>
    <s v="mar"/>
    <x v="1"/>
    <n v="62"/>
    <n v="0.98"/>
    <n v="0.4"/>
    <n v="0.2"/>
    <n v="2"/>
    <n v="7"/>
    <n v="7.36"/>
    <n v="98.6"/>
    <n v="16.899999999999999"/>
    <n v="7.36"/>
    <n v="67.099999999999994"/>
    <n v="556.6"/>
  </r>
  <r>
    <x v="3"/>
    <s v="2022-03-0261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2-03-01T00:00:00"/>
    <s v="mar"/>
    <x v="1"/>
    <n v="63"/>
    <n v="2.08"/>
    <n v="1.08"/>
    <n v="0.68"/>
    <n v="26.9"/>
    <n v="71"/>
    <n v="6.36"/>
    <n v="85.25"/>
    <n v="17.3"/>
    <n v="7.25"/>
    <n v="140.65"/>
    <n v="1194.3"/>
  </r>
  <r>
    <x v="3"/>
    <s v="2022-03-0262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2-03-01T00:00:00"/>
    <s v="mar"/>
    <x v="1"/>
    <n v="64"/>
    <n v="1.1399999999999999"/>
    <n v="0.46"/>
    <n v="0.24"/>
    <n v="14.3"/>
    <n v="54.3"/>
    <n v="4.0650000000000004"/>
    <n v="55.75"/>
    <n v="18.5"/>
    <n v="6.5350000000000001"/>
    <n v="77.2"/>
    <n v="2716.6"/>
  </r>
  <r>
    <x v="3"/>
    <s v="2022-03-0263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2-03-01T00:00:00"/>
    <s v="mar"/>
    <x v="1"/>
    <n v="65"/>
    <n v="2.08"/>
    <n v="1.2"/>
    <n v="0.84"/>
    <n v="12.5"/>
    <n v="48.7"/>
    <n v="3.7450000000000001"/>
    <n v="52.2"/>
    <n v="18.600000000000001"/>
    <n v="6.81"/>
    <n v="167.8"/>
    <n v="1922.4"/>
  </r>
  <r>
    <x v="4"/>
    <s v="2023-05-0709"/>
    <x v="6"/>
    <s v="ESTACION PUENTE REAL"/>
    <s v="LOT-202-RIO-400-RIO_NEGRO"/>
    <s v="Rionegro"/>
    <s v="R. 112-5304-2016 - Río Negro - Tramo: 4 - Río Negro"/>
    <x v="0"/>
    <s v="06°08'36,14&quot;"/>
    <s v="75°22'47,61&quot;"/>
    <d v="2023-05-10T00:00:00"/>
    <s v="may"/>
    <x v="0"/>
    <n v="115"/>
    <n v="0.54"/>
    <n v="0.16"/>
    <n v="0.04"/>
    <n v="2.5"/>
    <n v="13.2"/>
    <n v="6.79"/>
    <n v="103.7"/>
    <n v="23.3"/>
    <n v="7.1"/>
    <n v="107.6"/>
    <s v="N.D."/>
  </r>
  <r>
    <x v="4"/>
    <s v="2023-11-2336"/>
    <x v="6"/>
    <s v="ESTACION PUENTE REAL"/>
    <s v="LOT-202-RIO-400-RIO_NEGRO"/>
    <s v="Rionegro"/>
    <s v="R. 112-5304-2016 - Río Negro - Tramo: 4 - Río Negro"/>
    <x v="0"/>
    <s v="06°08'36,14&quot;"/>
    <s v="75°22'47,61&quot;"/>
    <d v="2023-11-22T00:00:00"/>
    <s v="nov"/>
    <x v="0"/>
    <n v="127"/>
    <n v="0.32"/>
    <n v="0.08"/>
    <n v="0.02"/>
    <n v="2.7"/>
    <n v="10.7"/>
    <n v="6.13"/>
    <n v="88.3"/>
    <n v="20.9"/>
    <n v="6.7949999999999999"/>
    <n v="83.55"/>
    <s v="N.D."/>
  </r>
  <r>
    <x v="5"/>
    <s v="2024-02-0188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4-02-27T00:00:00"/>
    <s v="feb"/>
    <x v="1"/>
    <m/>
    <n v="0.82"/>
    <n v="0.34"/>
    <n v="0.18"/>
    <n v="3.9"/>
    <n v="14.4"/>
    <n v="3.05"/>
    <n v="43.55"/>
    <n v="21.1"/>
    <n v="7.0750000000000002"/>
    <n v="205.05"/>
    <s v="N.D."/>
  </r>
  <r>
    <x v="5"/>
    <s v="2024-06-0842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4-06-18T00:00:00"/>
    <s v="jun"/>
    <x v="0"/>
    <m/>
    <n v="0.66"/>
    <n v="0.3"/>
    <n v="0.16"/>
    <n v="3.4"/>
    <n v="19.8"/>
    <n v="5.665"/>
    <n v="78.95"/>
    <n v="19.7"/>
    <n v="7.23"/>
    <n v="81.150000000000006"/>
    <s v="N.D."/>
  </r>
  <r>
    <x v="5"/>
    <s v="2024-11-1990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4-11-26T00:00:00"/>
    <s v="nov"/>
    <x v="0"/>
    <m/>
    <n v="2.2000000000000002"/>
    <n v="1.46"/>
    <n v="1.3"/>
    <n v="1.7"/>
    <n v="9"/>
    <n v="5.4350000000000005"/>
    <n v="75.050000000000011"/>
    <n v="19.100000000000001"/>
    <n v="6.7949999999999999"/>
    <n v="80.45"/>
    <s v="N.D."/>
  </r>
  <r>
    <x v="0"/>
    <s v=" 2020-08-1111 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0-08-24T00:00:00"/>
    <s v="ago"/>
    <x v="0"/>
    <n v="212"/>
    <n v="0.8"/>
    <n v="0.2"/>
    <n v="0.1"/>
    <n v="3.1"/>
    <n v="27.4"/>
    <n v="4.9400000000000004"/>
    <n v="67.599999999999994"/>
    <n v="18.5"/>
    <n v="6.55"/>
    <n v="71.099999999999994"/>
    <n v="13950"/>
  </r>
  <r>
    <x v="0"/>
    <s v=" 2020-11-1866 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0-11-23T00:00:00"/>
    <s v="nov"/>
    <x v="0"/>
    <n v="233"/>
    <n v="1.2"/>
    <n v="0.6"/>
    <n v="0.4"/>
    <n v="3.2"/>
    <n v="21.6"/>
    <n v="5.65"/>
    <n v="81.2"/>
    <n v="22"/>
    <n v="7.07"/>
    <n v="80.900000000000006"/>
    <n v="23540"/>
  </r>
  <r>
    <x v="1"/>
    <s v=" 2021-07-1207 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1-07-12T00:00:00"/>
    <s v="jul"/>
    <x v="0"/>
    <n v="302"/>
    <n v="0.8"/>
    <n v="0.4"/>
    <n v="0.2"/>
    <n v="6.2"/>
    <n v="10"/>
    <n v="5.17"/>
    <n v="76"/>
    <n v="21.3"/>
    <n v="7.33"/>
    <n v="82.5"/>
    <n v="4332.01"/>
  </r>
  <r>
    <x v="2"/>
    <s v="2019-11-2760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19-11-25T00:00:00"/>
    <s v="nov"/>
    <x v="0"/>
    <n v="166"/>
    <n v="0.4"/>
    <n v="0.1"/>
    <n v="0.1"/>
    <n v="2.6"/>
    <n v="16.5"/>
    <n v="5.73"/>
    <n v="81"/>
    <n v="20.100000000000001"/>
    <n v="7.09"/>
    <n v="73.3"/>
    <n v="26114.080000000002"/>
  </r>
  <r>
    <x v="0"/>
    <s v="2020-02-0226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0-02-24T00:00:00"/>
    <s v="feb"/>
    <x v="1"/>
    <n v="189"/>
    <n v="0.4"/>
    <n v="0.1"/>
    <n v="0.1"/>
    <n v="3.7"/>
    <n v="13.8"/>
    <n v="4.5199999999999996"/>
    <n v="62.4"/>
    <n v="19.100000000000001"/>
    <n v="7.44"/>
    <n v="496"/>
    <n v="1512.32"/>
  </r>
  <r>
    <x v="3"/>
    <s v="2022-06-0924"/>
    <x v="3"/>
    <s v="ROMERAL"/>
    <s v="LOT-085-GUA-100-LA_MOSCA"/>
    <s v="Guarne"/>
    <s v="R. 112-5304-2016 - Río Negro - Tramo: 12 - Quebrada La Mosca"/>
    <x v="2"/>
    <s v="06°18'32,19&quot;"/>
    <s v="75°27'33,70&quot;"/>
    <d v="2022-06-08T00:00:00"/>
    <s v="jun"/>
    <x v="0"/>
    <n v="66"/>
    <n v="0.32"/>
    <n v="0.1"/>
    <n v="0.08"/>
    <n v="4.5999999999999996"/>
    <n v="11"/>
    <n v="7.1749999999999998"/>
    <n v="95.5"/>
    <n v="16.7"/>
    <n v="7.2450000000000001"/>
    <n v="61"/>
    <n v="209.3"/>
  </r>
  <r>
    <x v="3"/>
    <s v="2022-06-0925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2-06-08T00:00:00"/>
    <s v="jun"/>
    <x v="0"/>
    <n v="67"/>
    <n v="0.78"/>
    <n v="0.46"/>
    <n v="0.22"/>
    <n v="7.8"/>
    <n v="22.6"/>
    <n v="7.12"/>
    <n v="95.8"/>
    <n v="17.100000000000001"/>
    <n v="7.0449999999999999"/>
    <n v="57"/>
    <n v="582.4"/>
  </r>
  <r>
    <x v="3"/>
    <s v="2022-06-0926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2-06-08T00:00:00"/>
    <s v="jun"/>
    <x v="0"/>
    <n v="68"/>
    <n v="0.48"/>
    <n v="0.28000000000000003"/>
    <n v="0.14000000000000001"/>
    <n v="7.8"/>
    <n v="17.8"/>
    <n v="6.6150000000000002"/>
    <n v="89.1"/>
    <n v="17.2"/>
    <n v="7.37"/>
    <n v="106.3"/>
    <n v="2843.4"/>
  </r>
  <r>
    <x v="3"/>
    <s v="2022-06-0927"/>
    <x v="3"/>
    <s v="OMYA"/>
    <s v="LOT-088-GUA-400-LA_MOSCA"/>
    <s v="Guarne"/>
    <s v="R. 112-5304-2016 - Río Negro - Tramo: 13 - Quebrada La Mosca"/>
    <x v="2"/>
    <s v="06°13'34,97&quot;"/>
    <s v="75°24'07,65&quot;"/>
    <d v="2022-06-08T00:00:00"/>
    <s v="jun"/>
    <x v="0"/>
    <n v="69"/>
    <n v="0.32"/>
    <n v="0.12"/>
    <n v="0.24"/>
    <n v="5.0999999999999996"/>
    <n v="21.8"/>
    <n v="5.9550000000000001"/>
    <n v="81.75"/>
    <n v="18.600000000000001"/>
    <n v="7.1150000000000002"/>
    <n v="94.9"/>
    <n v="103705.2"/>
  </r>
  <r>
    <x v="3"/>
    <s v="2022-06-0928"/>
    <x v="4"/>
    <s v="ESTACION RIOTEX"/>
    <s v="LOT-179-RIO-500-LA_MOSCA"/>
    <s v="Rionegro"/>
    <s v="R. 112-5304-2016 - Río Negro - Tramo: 13 - Quebrada La Mosca"/>
    <x v="2"/>
    <s v="06°10'51,60&quot;"/>
    <s v="75°22'00,15&quot;"/>
    <d v="2022-06-08T00:00:00"/>
    <s v="jun"/>
    <x v="0"/>
    <n v="70"/>
    <n v="0.36"/>
    <n v="0.13"/>
    <n v="0.38"/>
    <n v="12.6"/>
    <n v="30.2"/>
    <n v="6.04"/>
    <n v="83"/>
    <n v="17"/>
    <n v="6.9950000000000001"/>
    <n v="85.05"/>
    <n v="7197"/>
  </r>
  <r>
    <x v="3"/>
    <s v="2022-06-0947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2-06-15T00:00:00"/>
    <s v="jun"/>
    <x v="0"/>
    <n v="71"/>
    <n v="0.38"/>
    <n v="0.14000000000000001"/>
    <n v="0.06"/>
    <n v="1"/>
    <n v="4.3"/>
    <n v="7.14"/>
    <n v="99.55"/>
    <n v="187"/>
    <n v="7.33"/>
    <n v="65.849999999999994"/>
    <n v="397.9"/>
  </r>
  <r>
    <x v="3"/>
    <s v="2022-06-0948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2-06-15T00:00:00"/>
    <s v="jun"/>
    <x v="0"/>
    <n v="72"/>
    <n v="0.4"/>
    <n v="0.14000000000000001"/>
    <n v="0.08"/>
    <n v="10.7"/>
    <n v="46.5"/>
    <n v="6.4450000000000003"/>
    <n v="89.35"/>
    <n v="19.100000000000001"/>
    <n v="7.16"/>
    <n v="113.55"/>
    <n v="1610.4"/>
  </r>
  <r>
    <x v="3"/>
    <s v="2022-06-0949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2-06-15T00:00:00"/>
    <s v="jun"/>
    <x v="0"/>
    <n v="73"/>
    <n v="0.42"/>
    <n v="0.14000000000000001"/>
    <n v="0.06"/>
    <n v="5.7"/>
    <n v="18.399999999999999"/>
    <n v="5.24"/>
    <n v="72.8"/>
    <n v="18.7"/>
    <n v="6.9249999999999998"/>
    <n v="78.3"/>
    <n v="3466"/>
  </r>
  <r>
    <x v="3"/>
    <s v="2022-06-0950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2-06-15T00:00:00"/>
    <s v="jun"/>
    <x v="0"/>
    <n v="74"/>
    <n v="1.48"/>
    <n v="1.21"/>
    <n v="0.59"/>
    <n v="4.0999999999999996"/>
    <n v="16.399999999999999"/>
    <n v="5.2050000000000001"/>
    <n v="72.599999999999994"/>
    <n v="18.8"/>
    <n v="6.915"/>
    <n v="158.4"/>
    <s v="N.D."/>
  </r>
  <r>
    <x v="3"/>
    <s v="2022-06-0951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2-06-15T00:00:00"/>
    <s v="jun"/>
    <x v="0"/>
    <n v="75"/>
    <n v="0.34"/>
    <n v="0.1"/>
    <n v="0.04"/>
    <n v="4"/>
    <n v="36"/>
    <n v="6.1550000000000002"/>
    <n v="89"/>
    <n v="20.8"/>
    <n v="7.06"/>
    <n v="87.15"/>
    <n v="1627.3"/>
  </r>
  <r>
    <x v="3"/>
    <s v="2022-06-0952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2-06-15T00:00:00"/>
    <s v="jun"/>
    <x v="0"/>
    <n v="76"/>
    <n v="0.4"/>
    <n v="0.1"/>
    <n v="0.06"/>
    <n v="5.3"/>
    <n v="13.3"/>
    <n v="5.2850000000000001"/>
    <n v="75.7"/>
    <n v="20.100000000000001"/>
    <n v="7.02"/>
    <n v="89.35"/>
    <n v="3807.3"/>
  </r>
  <r>
    <x v="3"/>
    <s v="2022-06-0953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2-06-15T00:00:00"/>
    <s v="jun"/>
    <x v="0"/>
    <n v="77"/>
    <n v="0.42"/>
    <n v="0.16"/>
    <n v="0.04"/>
    <n v="4.5"/>
    <n v="24.8"/>
    <n v="5.46"/>
    <n v="76.349999999999994"/>
    <n v="19.100000000000001"/>
    <n v="7.01"/>
    <n v="83.65"/>
    <n v="4074.1"/>
  </r>
  <r>
    <x v="3"/>
    <s v="2022-06-0954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2-06-15T00:00:00"/>
    <s v="jun"/>
    <x v="0"/>
    <n v="78"/>
    <n v="0.57999999999999996"/>
    <n v="0.2"/>
    <n v="0.1"/>
    <n v="7.7"/>
    <n v="29.1"/>
    <n v="4.82"/>
    <n v="66.5"/>
    <n v="18.8"/>
    <n v="6.9649999999999999"/>
    <n v="92.4"/>
    <n v="5225.3999999999996"/>
  </r>
  <r>
    <x v="1"/>
    <s v="2021-02-193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1-02-01T00:00:00"/>
    <s v="feb"/>
    <x v="1"/>
    <n v="256"/>
    <n v="0.72"/>
    <n v="0.28000000000000003"/>
    <n v="0.14000000000000001"/>
    <n v="2.4"/>
    <n v="20.5"/>
    <n v="5.89"/>
    <n v="84.6"/>
    <n v="20.3"/>
    <n v="7.01"/>
    <n v="115.3"/>
    <n v="2451.2399999999998"/>
  </r>
  <r>
    <x v="1"/>
    <s v="2021-11-2220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1-11-29T00:00:00"/>
    <s v="nov"/>
    <x v="0"/>
    <n v="279"/>
    <n v="0.7"/>
    <n v="0.3"/>
    <n v="0.2"/>
    <n v="1.9"/>
    <n v="17.5"/>
    <n v="5.89"/>
    <n v="83.1"/>
    <n v="19.3"/>
    <n v="6.73"/>
    <n v="56.4"/>
    <s v="N.D."/>
  </r>
  <r>
    <x v="3"/>
    <s v="2022-02-0218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2-02-22T00:00:00"/>
    <s v="feb"/>
    <x v="1"/>
    <n v="136"/>
    <n v="1"/>
    <n v="0.4"/>
    <n v="0.2"/>
    <n v="6"/>
    <n v="31.9"/>
    <n v="5.8550000000000004"/>
    <n v="81.45"/>
    <n v="19.100000000000001"/>
    <n v="6.78"/>
    <n v="74.55"/>
    <n v="11336.2"/>
  </r>
  <r>
    <x v="3"/>
    <s v="2022-06-0906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2-06-08T00:00:00"/>
    <s v="jun"/>
    <x v="0"/>
    <n v="146"/>
    <n v="0.7"/>
    <n v="0.4"/>
    <n v="0.3"/>
    <n v="3.9"/>
    <n v="23.4"/>
    <n v="6.2649999999999997"/>
    <n v="83.05"/>
    <n v="16.899999999999999"/>
    <n v="6.85"/>
    <n v="61.5"/>
    <n v="41900.9"/>
  </r>
  <r>
    <x v="3"/>
    <s v="2022-11-2186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2-11-23T00:00:00"/>
    <s v="nov"/>
    <x v="0"/>
    <n v="156"/>
    <n v="0.57999999999999996"/>
    <n v="0.24"/>
    <n v="0.12"/>
    <n v="9.9"/>
    <n v="48.4"/>
    <n v="6.32"/>
    <n v="86.1"/>
    <n v="18"/>
    <n v="6.64"/>
    <n v="60.25"/>
    <n v="28932.799999999999"/>
  </r>
  <r>
    <x v="4"/>
    <s v="2023-02-0225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3-02-28T00:00:00"/>
    <s v="feb"/>
    <x v="1"/>
    <n v="106"/>
    <n v="1.02"/>
    <n v="0.38"/>
    <n v="0.2"/>
    <n v="6.2"/>
    <n v="36"/>
    <n v="7.03"/>
    <n v="106.55"/>
    <n v="22.8"/>
    <n v="7.3449999999999998"/>
    <n v="143.94999999999999"/>
    <s v="N.D."/>
  </r>
  <r>
    <x v="4"/>
    <s v="2023-05-0710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3-05-10T00:00:00"/>
    <s v="may"/>
    <x v="0"/>
    <n v="116"/>
    <n v="0.6"/>
    <n v="0.22"/>
    <n v="0.1"/>
    <n v="3.6"/>
    <n v="11.7"/>
    <n v="5.84"/>
    <n v="89.05"/>
    <n v="23.9"/>
    <n v="7.0250000000000004"/>
    <n v="116.5"/>
    <s v="N.D."/>
  </r>
  <r>
    <x v="4"/>
    <s v="2023-11-2337"/>
    <x v="7"/>
    <s v="ESTACION PUENTE ANTES DE LA EBAR EPRIO"/>
    <s v="LOT-203-RIO-500-RIO_NEGRO"/>
    <s v="Rionegro"/>
    <s v="R. 112-5304-2016 - Río Negro - Tramo: 4 - Río Negro"/>
    <x v="0"/>
    <s v="06°09'09,62&quot;"/>
    <s v="75°22'10,43&quot;"/>
    <d v="2023-11-22T00:00:00"/>
    <s v="nov"/>
    <x v="0"/>
    <n v="128"/>
    <n v="0.24"/>
    <n v="0.08"/>
    <n v="0.04"/>
    <n v="3.8"/>
    <n v="12"/>
    <n v="4.8049999999999997"/>
    <n v="68.05"/>
    <n v="20.9"/>
    <n v="6.75"/>
    <n v="89.15"/>
    <s v="N.D."/>
  </r>
  <r>
    <x v="5"/>
    <s v="2024-02-0189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4-02-27T00:00:00"/>
    <s v="feb"/>
    <x v="1"/>
    <m/>
    <n v="2.34"/>
    <n v="1.38"/>
    <n v="0.9"/>
    <n v="33.799999999999997"/>
    <n v="72.599999999999994"/>
    <n v="0.17499999999999999"/>
    <n v="2.4000000000000004"/>
    <n v="22"/>
    <n v="7.1950000000000003"/>
    <n v="297.5"/>
    <s v="N.D."/>
  </r>
  <r>
    <x v="5"/>
    <s v="2024-06-0843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4-06-18T00:00:00"/>
    <s v="jun"/>
    <x v="0"/>
    <m/>
    <n v="0.84"/>
    <n v="0.4"/>
    <n v="0.24"/>
    <n v="4.2"/>
    <n v="18.600000000000001"/>
    <n v="5.1400000000000006"/>
    <n v="71.5"/>
    <n v="19.2"/>
    <n v="7.2"/>
    <n v="84.7"/>
    <s v="N.D."/>
  </r>
  <r>
    <x v="3"/>
    <s v="2022-11-2205"/>
    <x v="3"/>
    <s v="ROMERAL"/>
    <s v="LOT-085-GUA-100-LA_MOSCA"/>
    <s v="Guarne"/>
    <s v="R. 112-5304-2016 - Río Negro - Tramo: 12 - Quebrada La Mosca"/>
    <x v="2"/>
    <s v="06°18'32,19&quot;"/>
    <s v="75°27'33,70&quot;"/>
    <d v="2022-11-23T00:00:00"/>
    <s v="nov"/>
    <x v="0"/>
    <n v="79"/>
    <n v="0.46"/>
    <n v="0.16"/>
    <n v="0.06"/>
    <n v="3.1"/>
    <n v="0"/>
    <n v="7.375"/>
    <n v="100.65"/>
    <n v="17.399999999999999"/>
    <n v="6.9850000000000003"/>
    <n v="60.1"/>
    <n v="958.1"/>
  </r>
  <r>
    <x v="3"/>
    <s v="2022-11-2206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2-11-23T00:00:00"/>
    <s v="nov"/>
    <x v="0"/>
    <n v="80"/>
    <n v="0.64"/>
    <n v="0.28000000000000003"/>
    <n v="0.14000000000000001"/>
    <n v="3.1"/>
    <n v="2.4"/>
    <n v="7.43"/>
    <n v="103.75"/>
    <n v="18.2"/>
    <n v="6.83"/>
    <n v="52.05"/>
    <n v="2185.9"/>
  </r>
  <r>
    <x v="3"/>
    <s v="2022-11-2207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2-11-23T00:00:00"/>
    <s v="nov"/>
    <x v="0"/>
    <n v="81"/>
    <n v="0.44"/>
    <n v="0.28000000000000003"/>
    <n v="0.08"/>
    <n v="10.3"/>
    <n v="29.5"/>
    <n v="6.9550000000000001"/>
    <n v="96.5"/>
    <n v="18.3"/>
    <n v="7.0750000000000002"/>
    <n v="93.65"/>
    <n v="9004.5"/>
  </r>
  <r>
    <x v="3"/>
    <s v="2022-11-2208"/>
    <x v="3"/>
    <s v="OMYA"/>
    <s v="LOT-088-GUA-400-LA_MOSCA"/>
    <s v="Guarne"/>
    <s v="R. 112-5304-2016 - Río Negro - Tramo: 13 - Quebrada La Mosca"/>
    <x v="2"/>
    <s v="06°13'34,97&quot;"/>
    <s v="75°24'07,65&quot;"/>
    <d v="2022-11-23T00:00:00"/>
    <s v="nov"/>
    <x v="0"/>
    <n v="82"/>
    <n v="0.64"/>
    <n v="0.28000000000000003"/>
    <n v="0.16"/>
    <n v="9.4"/>
    <n v="31.1"/>
    <n v="6.7249999999999996"/>
    <n v="92.8"/>
    <n v="18.399999999999999"/>
    <n v="6.8049999999999997"/>
    <n v="92"/>
    <s v="N.D."/>
  </r>
  <r>
    <x v="3"/>
    <s v="2022-11-2209"/>
    <x v="4"/>
    <s v="ESTACION RIOTEX"/>
    <s v="LOT-179-RIO-500-LA_MOSCA"/>
    <s v="Rionegro"/>
    <s v="R. 112-5304-2016 - Río Negro - Tramo: 13 - Quebrada La Mosca"/>
    <x v="2"/>
    <s v="06°10'51,60&quot;"/>
    <s v="75°22'00,15&quot;"/>
    <d v="2022-11-23T00:00:00"/>
    <s v="nov"/>
    <x v="0"/>
    <n v="83"/>
    <n v="0.56000000000000005"/>
    <n v="0.27"/>
    <n v="0.11"/>
    <n v="11.1"/>
    <n v="35.5"/>
    <n v="6.1550000000000002"/>
    <n v="84.6"/>
    <n v="18.399999999999999"/>
    <n v="6.7350000000000003"/>
    <n v="113.7"/>
    <s v="N.D."/>
  </r>
  <r>
    <x v="3"/>
    <s v="2022-11-2249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2-11-29T00:00:00"/>
    <s v="nov"/>
    <x v="0"/>
    <n v="84"/>
    <n v="0.4"/>
    <n v="0.16"/>
    <n v="0.06"/>
    <n v="1.3"/>
    <n v="8"/>
    <n v="7.4"/>
    <n v="102.95"/>
    <n v="18.2"/>
    <n v="6.7750000000000004"/>
    <n v="67.150000000000006"/>
    <n v="522.4"/>
  </r>
  <r>
    <x v="3"/>
    <s v="2022-11-2250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2-11-29T00:00:00"/>
    <s v="nov"/>
    <x v="0"/>
    <n v="85"/>
    <n v="0.66"/>
    <n v="0.32"/>
    <n v="0.18"/>
    <n v="15.1"/>
    <n v="52.1"/>
    <n v="6.66"/>
    <n v="92.45"/>
    <n v="18.3"/>
    <n v="6.91"/>
    <n v="128.35"/>
    <n v="1424.2"/>
  </r>
  <r>
    <x v="3"/>
    <s v="2022-11-2251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2-11-29T00:00:00"/>
    <s v="nov"/>
    <x v="0"/>
    <n v="86"/>
    <n v="0.66"/>
    <n v="0.22"/>
    <n v="0.08"/>
    <n v="9.4"/>
    <n v="58.3"/>
    <n v="6.08"/>
    <n v="82.15"/>
    <n v="17.8"/>
    <n v="6.7649999999999997"/>
    <n v="67.349999999999994"/>
    <s v="N.D."/>
  </r>
  <r>
    <x v="3"/>
    <s v="2022-11-2252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2-11-29T00:00:00"/>
    <s v="nov"/>
    <x v="0"/>
    <n v="87"/>
    <n v="1.25"/>
    <n v="0.89"/>
    <n v="0.46"/>
    <n v="10.6"/>
    <n v="27.5"/>
    <n v="6.07"/>
    <n v="82.25"/>
    <n v="18.100000000000001"/>
    <n v="6.8150000000000004"/>
    <n v="131"/>
    <s v="N.D."/>
  </r>
  <r>
    <x v="3"/>
    <s v="2022-11-225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2-11-29T00:00:00"/>
    <s v="nov"/>
    <x v="0"/>
    <n v="88"/>
    <n v="0.38"/>
    <n v="0.14000000000000001"/>
    <n v="0.04"/>
    <n v="2.2999999999999998"/>
    <n v="13.3"/>
    <n v="6.1349999999999998"/>
    <n v="90.35"/>
    <n v="20.7"/>
    <n v="6.875"/>
    <n v="84.4"/>
    <s v="N.D."/>
  </r>
  <r>
    <x v="3"/>
    <s v="2022-11-2254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2-11-29T00:00:00"/>
    <s v="nov"/>
    <x v="0"/>
    <n v="89"/>
    <n v="0.4"/>
    <n v="0.14000000000000001"/>
    <n v="0.04"/>
    <n v="7.6"/>
    <n v="17.8"/>
    <n v="5.74"/>
    <n v="82.4"/>
    <n v="19.8"/>
    <n v="6.7949999999999999"/>
    <n v="91.4"/>
    <s v="N.D."/>
  </r>
  <r>
    <x v="3"/>
    <s v="2022-11-2255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2-11-29T00:00:00"/>
    <s v="nov"/>
    <x v="0"/>
    <n v="90"/>
    <n v="0.26"/>
    <n v="0.16"/>
    <n v="0.04"/>
    <n v="4"/>
    <n v="26"/>
    <n v="5.5449999999999999"/>
    <n v="78.05"/>
    <n v="19.5"/>
    <n v="6.82"/>
    <n v="96.25"/>
    <s v="N.D."/>
  </r>
  <r>
    <x v="3"/>
    <s v="2022-11-2256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2-11-29T00:00:00"/>
    <s v="nov"/>
    <x v="0"/>
    <n v="91"/>
    <n v="0.26"/>
    <n v="0.14000000000000001"/>
    <n v="0.04"/>
    <n v="8.9"/>
    <n v="26.5"/>
    <n v="4.6349999999999998"/>
    <n v="64.849999999999994"/>
    <n v="18.7"/>
    <n v="6.9050000000000002"/>
    <n v="111.05"/>
    <s v="N.D."/>
  </r>
  <r>
    <x v="5"/>
    <s v="2024-11-1991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4-11-26T00:00:00"/>
    <s v="nov"/>
    <x v="0"/>
    <m/>
    <n v="1.92"/>
    <n v="1.3"/>
    <n v="0.9"/>
    <n v="11.7"/>
    <n v="48"/>
    <n v="4.4800000000000004"/>
    <n v="62.3"/>
    <n v="18.899999999999999"/>
    <n v="6.74"/>
    <n v="96.3"/>
    <s v="N.D."/>
  </r>
  <r>
    <x v="1"/>
    <s v=" 2021-07-1208 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1-07-12T00:00:00"/>
    <s v="jul"/>
    <x v="0"/>
    <n v="303"/>
    <n v="0.8"/>
    <n v="0.5"/>
    <n v="0.3"/>
    <n v="7"/>
    <n v="21.7"/>
    <n v="4.55"/>
    <n v="64.8"/>
    <n v="20.2"/>
    <n v="7.14"/>
    <n v="98.6"/>
    <n v="1668.09"/>
  </r>
  <r>
    <x v="2"/>
    <s v="2019-11-2778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19-11-25T00:00:00"/>
    <s v="nov"/>
    <x v="0"/>
    <n v="167"/>
    <n v="0.4"/>
    <n v="0.1"/>
    <n v="0.1"/>
    <n v="5"/>
    <n v="19.3"/>
    <n v="5.0599999999999996"/>
    <n v="71.7"/>
    <n v="19.600000000000001"/>
    <n v="6.75"/>
    <n v="80"/>
    <n v="11041.71"/>
  </r>
  <r>
    <x v="0"/>
    <s v="2020-02-0243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0-02-24T00:00:00"/>
    <s v="feb"/>
    <x v="1"/>
    <n v="190"/>
    <n v="1.4"/>
    <n v="0.8"/>
    <n v="0.5"/>
    <n v="18.3"/>
    <n v="65.400000000000006"/>
    <n v="4.45"/>
    <n v="60.2"/>
    <n v="21.8"/>
    <n v="6.86"/>
    <n v="192.7"/>
    <n v="2139.62"/>
  </r>
  <r>
    <x v="0"/>
    <s v="2020-11-1867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0-11-23T00:00:00"/>
    <s v="nov"/>
    <x v="0"/>
    <n v="234"/>
    <n v="0.9"/>
    <n v="0.4"/>
    <n v="0.2"/>
    <n v="5.3"/>
    <n v="23.1"/>
    <n v="5.23"/>
    <n v="76.5"/>
    <n v="21.6"/>
    <n v="6.82"/>
    <n v="89.4"/>
    <s v="N.D."/>
  </r>
  <r>
    <x v="1"/>
    <s v="2021-02-194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1-02-01T00:00:00"/>
    <s v="feb"/>
    <x v="1"/>
    <n v="257"/>
    <n v="0.68"/>
    <n v="0.34"/>
    <n v="0.2"/>
    <n v="22.2"/>
    <n v="59.5"/>
    <n v="1.93"/>
    <n v="27.7"/>
    <n v="20.3"/>
    <n v="7.02"/>
    <n v="170.6"/>
    <s v="N.D."/>
  </r>
  <r>
    <x v="1"/>
    <s v="2021-11-2221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1-11-29T00:00:00"/>
    <s v="nov"/>
    <x v="0"/>
    <n v="280"/>
    <n v="0.9"/>
    <n v="0.4"/>
    <n v="0.2"/>
    <n v="2.2000000000000002"/>
    <n v="10.7"/>
    <n v="5.66"/>
    <n v="80"/>
    <n v="19.7"/>
    <n v="6.72"/>
    <n v="63.3"/>
    <s v="N.D."/>
  </r>
  <r>
    <x v="3"/>
    <s v="2022-02-0219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2-02-22T00:00:00"/>
    <s v="feb"/>
    <x v="1"/>
    <n v="137"/>
    <n v="1"/>
    <n v="0.4"/>
    <n v="0.2"/>
    <n v="10.8"/>
    <n v="39.799999999999997"/>
    <n v="5.19"/>
    <n v="70.95"/>
    <n v="18.100000000000001"/>
    <n v="6.7450000000000001"/>
    <n v="90.85"/>
    <s v="N.D."/>
  </r>
  <r>
    <x v="4"/>
    <s v="2023-03-0239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3-03-01T00:00:00"/>
    <s v="mar"/>
    <x v="1"/>
    <n v="14"/>
    <n v="0.56000000000000005"/>
    <n v="0.22"/>
    <n v="0.1"/>
    <s v="&gt;24,2"/>
    <n v="22.1"/>
    <n v="6.26"/>
    <n v="95.6"/>
    <n v="22.7"/>
    <n v="7.2149999999999999"/>
    <n v="87.25"/>
    <n v="238.4"/>
  </r>
  <r>
    <x v="4"/>
    <s v="2023-03-0240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3-03-01T00:00:00"/>
    <s v="mar"/>
    <x v="1"/>
    <n v="15"/>
    <n v="3.04"/>
    <n v="1.98"/>
    <n v="1.42"/>
    <s v="&gt;121,0"/>
    <n v="119.2"/>
    <n v="3.8450000000000002"/>
    <n v="57.6"/>
    <n v="22.3"/>
    <n v="7.0650000000000004"/>
    <n v="204"/>
    <n v="517.4"/>
  </r>
  <r>
    <x v="4"/>
    <s v="2023-03-0241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3-03-01T00:00:00"/>
    <s v="mar"/>
    <x v="1"/>
    <n v="16"/>
    <n v="0.62"/>
    <n v="0.22"/>
    <n v="0.1"/>
    <s v="&gt;30,5"/>
    <n v="27.9"/>
    <n v="3.8250000000000002"/>
    <n v="55.6"/>
    <n v="21.2"/>
    <n v="6.63"/>
    <n v="116.3"/>
    <n v="1204.5"/>
  </r>
  <r>
    <x v="4"/>
    <s v="2023-03-0242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3-03-01T00:00:00"/>
    <s v="mar"/>
    <x v="1"/>
    <n v="17"/>
    <n v="2.52"/>
    <n v="2.2000000000000002"/>
    <n v="1.76"/>
    <s v="&gt;35,4"/>
    <n v="35.1"/>
    <n v="3.85"/>
    <n v="55.8"/>
    <n v="21.3"/>
    <n v="7.13"/>
    <n v="261"/>
    <s v="N.D."/>
  </r>
  <r>
    <x v="4"/>
    <s v="2023-03-0245"/>
    <x v="3"/>
    <s v="ROMERAL"/>
    <s v="LOT-085-GUA-100-LA_MOSCA"/>
    <s v="Guarne"/>
    <s v="R. 112-5304-2016 - Río Negro - Tramo: 12 - Quebrada La Mosca"/>
    <x v="2"/>
    <s v="06°18'32,19&quot;"/>
    <s v="75°27'33,70&quot;"/>
    <d v="2023-03-01T00:00:00"/>
    <s v="mar"/>
    <x v="1"/>
    <n v="18"/>
    <n v="0.32"/>
    <n v="0.12"/>
    <n v="0.06"/>
    <n v="2.9"/>
    <n v="14.2"/>
    <n v="7.1050000000000004"/>
    <n v="93.9"/>
    <n v="16.100000000000001"/>
    <n v="7.1150000000000002"/>
    <n v="86.65"/>
    <n v="54.1"/>
  </r>
  <r>
    <x v="4"/>
    <s v="2023-03-0246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3-03-01T00:00:00"/>
    <s v="mar"/>
    <x v="1"/>
    <n v="19"/>
    <n v="0.24"/>
    <n v="0.08"/>
    <n v="0.02"/>
    <s v="&gt;18,4"/>
    <n v="22.2"/>
    <n v="7.05"/>
    <n v="93.85"/>
    <n v="16.2"/>
    <n v="6.7649999999999997"/>
    <n v="68.150000000000006"/>
    <n v="299.8"/>
  </r>
  <r>
    <x v="4"/>
    <s v="2023-03-0247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3-03-01T00:00:00"/>
    <s v="mar"/>
    <x v="1"/>
    <n v="20"/>
    <n v="0.64"/>
    <n v="0.3"/>
    <n v="0.18"/>
    <s v="&gt;60,1"/>
    <n v="57.6"/>
    <n v="3.31"/>
    <n v="44.95"/>
    <n v="17.8"/>
    <n v="7.0149999999999997"/>
    <n v="229"/>
    <n v="625"/>
  </r>
  <r>
    <x v="4"/>
    <s v="2023-03-0248"/>
    <x v="3"/>
    <s v="OMYA"/>
    <s v="LOT-088-GUA-400-LA_MOSCA"/>
    <s v="Guarne"/>
    <s v="R. 112-5304-2016 - Río Negro - Tramo: 13 - Quebrada La Mosca"/>
    <x v="2"/>
    <s v="06°13'34,97&quot;"/>
    <s v="75°24'07,65&quot;"/>
    <d v="2023-03-01T00:00:00"/>
    <s v="mar"/>
    <x v="1"/>
    <n v="21"/>
    <n v="0.68"/>
    <n v="0.28000000000000003"/>
    <n v="0.14000000000000001"/>
    <s v="&gt;17,5"/>
    <n v="22"/>
    <n v="3.78"/>
    <n v="51.4"/>
    <n v="18.600000000000001"/>
    <n v="6.6"/>
    <n v="146.15"/>
    <n v="644.20000000000005"/>
  </r>
  <r>
    <x v="4"/>
    <s v="2023-03-0249"/>
    <x v="4"/>
    <s v="ESTACION RIOTEX"/>
    <s v="LOT-179-RIO-500-LA_MOSCA"/>
    <s v="Rionegro"/>
    <s v="R. 112-5304-2016 - Río Negro - Tramo: 13 - Quebrada La Mosca"/>
    <x v="2"/>
    <s v="06°10'51,60&quot;"/>
    <s v="75°22'00,15&quot;"/>
    <d v="2023-03-01T00:00:00"/>
    <s v="mar"/>
    <x v="1"/>
    <n v="22"/>
    <n v="0.66"/>
    <n v="0.24"/>
    <n v="0.1"/>
    <s v="&gt;43,8"/>
    <n v="45.3"/>
    <n v="1.585"/>
    <n v="22.15"/>
    <n v="20.2"/>
    <n v="6.6749999999999998"/>
    <n v="165.2"/>
    <s v="N.D."/>
  </r>
  <r>
    <x v="3"/>
    <s v="2022-06-0907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2-06-08T00:00:00"/>
    <s v="jun"/>
    <x v="0"/>
    <n v="147"/>
    <n v="0.8"/>
    <n v="0.4"/>
    <n v="0.3"/>
    <n v="4.4000000000000004"/>
    <n v="34.9"/>
    <n v="6.0650000000000004"/>
    <n v="79.849999999999994"/>
    <n v="16.7"/>
    <n v="6.9649999999999999"/>
    <n v="65.5"/>
    <s v="N.D."/>
  </r>
  <r>
    <x v="3"/>
    <s v="2022-11-2187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2-11-23T00:00:00"/>
    <s v="nov"/>
    <x v="0"/>
    <n v="157"/>
    <n v="0.9"/>
    <n v="0.4"/>
    <n v="0.22"/>
    <n v="17.8"/>
    <n v="82.6"/>
    <n v="5.9550000000000001"/>
    <n v="79.900000000000006"/>
    <n v="17.8"/>
    <n v="6.59"/>
    <n v="67.900000000000006"/>
    <s v="N.D."/>
  </r>
  <r>
    <x v="4"/>
    <s v="2023-03-0256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3-03-01T00:00:00"/>
    <s v="mar"/>
    <x v="1"/>
    <n v="23"/>
    <n v="0.68"/>
    <n v="0.22"/>
    <n v="0.08"/>
    <n v="3"/>
    <n v="13"/>
    <n v="5.74"/>
    <n v="85.4"/>
    <n v="21.8"/>
    <n v="7.06"/>
    <n v="81.599999999999994"/>
    <s v="N.D."/>
  </r>
  <r>
    <x v="4"/>
    <s v="2023-03-0257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3-03-01T00:00:00"/>
    <s v="mar"/>
    <x v="1"/>
    <n v="24"/>
    <n v="0.86"/>
    <n v="0.28000000000000003"/>
    <n v="0.12"/>
    <s v="&gt;45,2"/>
    <n v="45.3"/>
    <n v="5.15"/>
    <n v="74.05"/>
    <n v="20.399999999999999"/>
    <n v="6.77"/>
    <n v="83.6"/>
    <s v="N.D."/>
  </r>
  <r>
    <x v="4"/>
    <s v="2023-03-0258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3-03-01T00:00:00"/>
    <s v="mar"/>
    <x v="1"/>
    <n v="25"/>
    <n v="0.74"/>
    <n v="0.26"/>
    <n v="0.12"/>
    <s v="&gt;50,9"/>
    <n v="52.1"/>
    <n v="4.5549999999999997"/>
    <n v="65.400000000000006"/>
    <n v="20.9"/>
    <n v="6.9"/>
    <n v="91.35"/>
    <s v="N.D."/>
  </r>
  <r>
    <x v="4"/>
    <s v="2023-03-0259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3-03-01T00:00:00"/>
    <s v="mar"/>
    <x v="1"/>
    <n v="26"/>
    <n v="0.82"/>
    <n v="0.26"/>
    <n v="0.1"/>
    <s v="&gt;59,5"/>
    <n v="60.7"/>
    <n v="2.895"/>
    <n v="41.5"/>
    <n v="20.3"/>
    <n v="6.76"/>
    <n v="101.95"/>
    <s v="N.D."/>
  </r>
  <r>
    <x v="4"/>
    <s v="2023-02-0226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3-02-28T00:00:00"/>
    <s v="feb"/>
    <x v="1"/>
    <n v="107"/>
    <n v="1.54"/>
    <n v="0.78"/>
    <n v="0.48"/>
    <n v="18.600000000000001"/>
    <n v="76.400000000000006"/>
    <n v="1.61"/>
    <n v="24.1"/>
    <n v="22.5"/>
    <n v="7.12"/>
    <n v="214.2"/>
    <s v="N.D."/>
  </r>
  <r>
    <x v="4"/>
    <s v="2023-05-0711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3-05-10T00:00:00"/>
    <s v="may"/>
    <x v="0"/>
    <n v="117"/>
    <n v="0.74"/>
    <n v="0.3"/>
    <n v="0.16"/>
    <n v="11.2"/>
    <n v="43"/>
    <n v="2.0449999999999999"/>
    <n v="30.7"/>
    <n v="22.4"/>
    <n v="6.94"/>
    <n v="156.05000000000001"/>
    <s v="N.D."/>
  </r>
  <r>
    <x v="4"/>
    <s v="2023-11-2338"/>
    <x v="8"/>
    <s v="ESTACION DESPUES DE LA DESCARGA DE LA PTARD MUNICIPIO DE RIONEGRO"/>
    <s v="LOT-204-RIO-600-RIO_NEGRO"/>
    <s v="Rionegro"/>
    <s v="R. 112-5304-2016 - Río Negro - Tramo: 4 - Río Negro"/>
    <x v="0"/>
    <s v="06°10'13,00&quot;"/>
    <s v="75°21'55,00&quot;"/>
    <d v="2023-11-22T00:00:00"/>
    <s v="nov"/>
    <x v="0"/>
    <n v="129"/>
    <n v="0.28000000000000003"/>
    <n v="0.12"/>
    <n v="0.08"/>
    <n v="6.1"/>
    <n v="10.7"/>
    <n v="3.915"/>
    <n v="55.8"/>
    <n v="19.8"/>
    <n v="6.3150000000000004"/>
    <n v="102.55"/>
    <s v="N.D."/>
  </r>
  <r>
    <x v="5"/>
    <s v="2024-02-0190"/>
    <x v="9"/>
    <s v="ESTACION PUENTE AUTOPISTA"/>
    <s v="LOT-205-RIO-700-RIO_NEGRO"/>
    <s v="Rionegro"/>
    <s v="R. 112-5304-2016 - Río Negro - Tramo: 4 - Río Negro"/>
    <x v="0"/>
    <s v="06°10'42,00&quot;"/>
    <s v="75°21'40,00&quot;"/>
    <d v="2024-02-27T00:00:00"/>
    <s v="feb"/>
    <x v="1"/>
    <m/>
    <n v="1.82"/>
    <n v="1.02"/>
    <n v="0.64"/>
    <n v="18.100000000000001"/>
    <n v="46.6"/>
    <n v="2.0449999999999999"/>
    <n v="30.8"/>
    <n v="23.9"/>
    <n v="7.3250000000000002"/>
    <n v="319"/>
    <s v="N.D."/>
  </r>
  <r>
    <x v="5"/>
    <s v="2024-06-0844"/>
    <x v="9"/>
    <s v="ESTACION PUENTE AUTOPISTA"/>
    <s v="LOT-205-RIO-700-RIO_NEGRO"/>
    <s v="Rionegro"/>
    <s v="R. 112-5304-2016 - Río Negro - Tramo: 4 - Río Negro"/>
    <x v="0"/>
    <s v="06°10'42,00&quot;"/>
    <s v="75°21'40,00&quot;"/>
    <d v="2024-06-18T00:00:00"/>
    <s v="jun"/>
    <x v="0"/>
    <m/>
    <n v="0.86"/>
    <n v="0.42"/>
    <n v="0.24"/>
    <n v="6.3"/>
    <n v="28"/>
    <n v="5.35"/>
    <n v="74.5"/>
    <n v="19.600000000000001"/>
    <n v="7.17"/>
    <n v="102.55"/>
    <s v="N.D."/>
  </r>
  <r>
    <x v="5"/>
    <s v="2024-11-1992"/>
    <x v="9"/>
    <s v="ESTACION PUENTE AUTOPISTA"/>
    <s v="LOT-205-RIO-700-RIO_NEGRO"/>
    <s v="Rionegro"/>
    <s v="R. 112-5304-2016 - Río Negro - Tramo: 4 - Río Negro"/>
    <x v="0"/>
    <s v="06°10'42,00&quot;"/>
    <s v="75°21'40,00&quot;"/>
    <d v="2024-11-26T00:00:00"/>
    <s v="nov"/>
    <x v="0"/>
    <m/>
    <n v="0.74"/>
    <n v="0.36"/>
    <n v="0.3"/>
    <n v="4.9000000000000004"/>
    <n v="33.299999999999997"/>
    <n v="4.32"/>
    <n v="59.599999999999994"/>
    <n v="19"/>
    <n v="6.6349999999999998"/>
    <n v="122.9"/>
    <s v="N.D."/>
  </r>
  <r>
    <x v="1"/>
    <s v=" 2021-07-1209"/>
    <x v="9"/>
    <s v="ESTACION PUENTE AUTOPISTA"/>
    <s v="LOT-205-RIO-700-RIO_NEGRO"/>
    <s v="Rionegro"/>
    <s v="R. 112-5304-2016 - Río Negro - Tramo: 4 - Río Negro"/>
    <x v="0"/>
    <s v="06°10'42,00&quot;"/>
    <s v="75°21'40,00&quot;"/>
    <d v="2021-07-12T00:00:00"/>
    <s v="jul"/>
    <x v="0"/>
    <n v="304"/>
    <n v="0.08"/>
    <n v="0.5"/>
    <n v="0.2"/>
    <n v="6.8"/>
    <n v="18.600000000000001"/>
    <n v="4.2699999999999996"/>
    <n v="60.9"/>
    <n v="20.399999999999999"/>
    <n v="7.13"/>
    <n v="116.1"/>
    <n v="7478.04"/>
  </r>
  <r>
    <x v="2"/>
    <s v="2019-11-2758"/>
    <x v="9"/>
    <s v="ESTACION PUENTE AUTOPISTA"/>
    <s v="LOT-205-RIO-700-RIO_NEGRO"/>
    <s v="Rionegro"/>
    <s v="R. 112-5304-2016 - Río Negro - Tramo: 4 - Río Negro"/>
    <x v="0"/>
    <s v="06°10'42,00&quot;"/>
    <s v="75°21'40,00&quot;"/>
    <d v="2019-11-25T00:00:00"/>
    <s v="nov"/>
    <x v="0"/>
    <n v="168"/>
    <n v="0.6"/>
    <n v="0.2"/>
    <n v="0.1"/>
    <n v="4.3"/>
    <n v="28.9"/>
    <n v="4.87"/>
    <n v="66.599999999999994"/>
    <n v="18.399999999999999"/>
    <n v="7.16"/>
    <n v="105.7"/>
    <n v="16762.39"/>
  </r>
  <r>
    <x v="4"/>
    <s v="2023-05-071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3-05-10T00:00:00"/>
    <s v="may"/>
    <x v="0"/>
    <n v="27"/>
    <n v="0.52"/>
    <n v="0.18"/>
    <n v="0.06"/>
    <n v="2.4"/>
    <n v="7.6"/>
    <n v="5.3650000000000002"/>
    <n v="78.2"/>
    <n v="21.9"/>
    <n v="6.9749999999999996"/>
    <n v="195.5"/>
    <s v="N.D."/>
  </r>
  <r>
    <x v="4"/>
    <s v="2023-05-0714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3-05-10T00:00:00"/>
    <s v="may"/>
    <x v="0"/>
    <n v="28"/>
    <n v="0.48"/>
    <n v="0.14000000000000001"/>
    <n v="0.04"/>
    <n v="5"/>
    <n v="17.100000000000001"/>
    <n v="4.6449999999999996"/>
    <n v="68.099999999999994"/>
    <n v="21.6"/>
    <n v="7.11"/>
    <n v="137.85"/>
    <s v="N.D."/>
  </r>
  <r>
    <x v="4"/>
    <s v="2023-05-0715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3-05-10T00:00:00"/>
    <s v="may"/>
    <x v="0"/>
    <n v="29"/>
    <n v="0.4"/>
    <n v="0.12"/>
    <n v="0.04"/>
    <n v="5.6"/>
    <n v="33.9"/>
    <n v="4.0199999999999996"/>
    <n v="59"/>
    <n v="21.7"/>
    <n v="7.02"/>
    <n v="122"/>
    <s v="N.D."/>
  </r>
  <r>
    <x v="4"/>
    <s v="2023-05-0716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3-05-10T00:00:00"/>
    <s v="may"/>
    <x v="0"/>
    <n v="30"/>
    <n v="0.57999999999999996"/>
    <n v="0.18"/>
    <n v="0.08"/>
    <n v="15.5"/>
    <n v="50.1"/>
    <n v="1.2649999999999999"/>
    <n v="18.600000000000001"/>
    <n v="21.9"/>
    <n v="7.0049999999999999"/>
    <n v="168.95"/>
    <s v="N.D."/>
  </r>
  <r>
    <x v="0"/>
    <s v="2020-02-0224"/>
    <x v="9"/>
    <s v="ESTACION PUENTE AUTOPISTA"/>
    <s v="LOT-205-RIO-700-RIO_NEGRO"/>
    <s v="Rionegro"/>
    <s v="R. 112-5304-2016 - Río Negro - Tramo: 4 - Río Negro"/>
    <x v="0"/>
    <s v="06°10'42,00&quot;"/>
    <s v="75°21'40,00&quot;"/>
    <d v="2020-02-24T00:00:00"/>
    <s v="feb"/>
    <x v="1"/>
    <n v="191"/>
    <n v="1.1000000000000001"/>
    <n v="0.7"/>
    <n v="0.2"/>
    <n v="13.9"/>
    <n v="67.099999999999994"/>
    <n v="2.5"/>
    <n v="34.5"/>
    <n v="18.899999999999999"/>
    <n v="7.18"/>
    <n v="234"/>
    <n v="2347.48"/>
  </r>
  <r>
    <x v="0"/>
    <s v="2020-08-1113"/>
    <x v="9"/>
    <s v="ESTACION PUENTE AUTOPISTA"/>
    <s v="LOT-205-RIO-700-RIO_NEGRO"/>
    <s v="Rionegro"/>
    <s v="R. 112-5304-2016 - Río Negro - Tramo: 4 - Río Negro"/>
    <x v="0"/>
    <s v="06°10'42,00&quot;"/>
    <s v="75°21'40,00&quot;"/>
    <d v="2020-08-24T00:00:00"/>
    <s v="ago"/>
    <x v="0"/>
    <n v="213"/>
    <n v="0.8"/>
    <n v="0.3"/>
    <n v="0.1"/>
    <n v="4.9000000000000004"/>
    <n v="27.1"/>
    <n v="4.5"/>
    <n v="61.5"/>
    <n v="18.3"/>
    <n v="6.65"/>
    <n v="91.6"/>
    <n v="17050"/>
  </r>
  <r>
    <x v="4"/>
    <s v="2023-05-0725"/>
    <x v="3"/>
    <s v="ROMERAL"/>
    <s v="LOT-085-GUA-100-LA_MOSCA"/>
    <s v="Guarne"/>
    <s v="R. 112-5304-2016 - Río Negro - Tramo: 12 - Quebrada La Mosca"/>
    <x v="2"/>
    <s v="06°18'32,19&quot;"/>
    <s v="75°27'33,70&quot;"/>
    <d v="2023-05-10T00:00:00"/>
    <s v="may"/>
    <x v="0"/>
    <n v="31"/>
    <n v="0.3"/>
    <n v="0.08"/>
    <n v="0.02"/>
    <n v="2"/>
    <n v="9.1"/>
    <n v="7.3650000000000002"/>
    <n v="98.35"/>
    <n v="16.399999999999999"/>
    <n v="6.9050000000000002"/>
    <n v="74.349999999999994"/>
    <n v="116.5"/>
  </r>
  <r>
    <x v="4"/>
    <s v="2023-05-0726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3-05-10T00:00:00"/>
    <s v="may"/>
    <x v="0"/>
    <n v="32"/>
    <n v="0.28000000000000003"/>
    <n v="0.1"/>
    <n v="0.04"/>
    <n v="0.9"/>
    <n v="0.1"/>
    <n v="7.44"/>
    <n v="99.75"/>
    <n v="17"/>
    <n v="6.8949999999999996"/>
    <n v="68.599999999999994"/>
    <n v="269.5"/>
  </r>
  <r>
    <x v="4"/>
    <s v="2023-05-0727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3-05-10T00:00:00"/>
    <s v="may"/>
    <x v="0"/>
    <n v="33"/>
    <n v="0.46"/>
    <n v="0.16"/>
    <n v="0.08"/>
    <n v="13.2"/>
    <n v="33.5"/>
    <n v="4.9400000000000004"/>
    <n v="67.5"/>
    <n v="18.2"/>
    <n v="7.0949999999999998"/>
    <n v="166.25"/>
    <n v="993.3"/>
  </r>
  <r>
    <x v="4"/>
    <s v="2023-05-0728"/>
    <x v="3"/>
    <s v="OMYA"/>
    <s v="LOT-088-GUA-400-LA_MOSCA"/>
    <s v="Guarne"/>
    <s v="R. 112-5304-2016 - Río Negro - Tramo: 13 - Quebrada La Mosca"/>
    <x v="2"/>
    <s v="06°13'34,97&quot;"/>
    <s v="75°24'07,65&quot;"/>
    <d v="2023-05-10T00:00:00"/>
    <s v="may"/>
    <x v="0"/>
    <n v="34"/>
    <n v="0.34"/>
    <n v="0.12"/>
    <n v="0.04"/>
    <n v="1.9"/>
    <n v="8.5"/>
    <n v="5.48"/>
    <n v="76.3"/>
    <n v="18.600000000000001"/>
    <n v="6.7450000000000001"/>
    <n v="122.3"/>
    <n v="2094.8000000000002"/>
  </r>
  <r>
    <x v="4"/>
    <s v="2023-05-0729"/>
    <x v="4"/>
    <s v="ESTACION RIOTEX"/>
    <s v="LOT-179-RIO-500-LA_MOSCA"/>
    <s v="Rionegro"/>
    <s v="R. 112-5304-2016 - Río Negro - Tramo: 13 - Quebrada La Mosca"/>
    <x v="2"/>
    <s v="06°10'51,60&quot;"/>
    <s v="75°22'00,15&quot;"/>
    <d v="2023-05-10T00:00:00"/>
    <s v="may"/>
    <x v="0"/>
    <n v="35"/>
    <n v="0.66"/>
    <n v="0.38"/>
    <n v="0.4"/>
    <n v="3.2"/>
    <n v="15.8"/>
    <n v="4.4800000000000004"/>
    <n v="64.599999999999994"/>
    <n v="21"/>
    <n v="6.84"/>
    <n v="138.15"/>
    <s v="N.D."/>
  </r>
  <r>
    <x v="4"/>
    <s v="2023-05-0780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3-05-16T00:00:00"/>
    <s v="may"/>
    <x v="0"/>
    <n v="36"/>
    <n v="0.76"/>
    <n v="0.28000000000000003"/>
    <n v="0.14000000000000001"/>
    <n v="4.3"/>
    <n v="24"/>
    <n v="4.43"/>
    <n v="63"/>
    <n v="20.6"/>
    <n v="7.085"/>
    <n v="152"/>
    <n v="1341.7"/>
  </r>
  <r>
    <x v="4"/>
    <s v="2023-05-0781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3-05-16T00:00:00"/>
    <s v="may"/>
    <x v="0"/>
    <n v="37"/>
    <n v="2.1800000000000002"/>
    <n v="1.54"/>
    <n v="0.68"/>
    <n v="4.4000000000000004"/>
    <n v="10"/>
    <n v="4.42"/>
    <n v="64.5"/>
    <n v="21.8"/>
    <n v="7.1950000000000003"/>
    <n v="303.5"/>
    <s v="N.D."/>
  </r>
  <r>
    <x v="4"/>
    <s v="2023-05-0791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3-05-16T00:00:00"/>
    <s v="may"/>
    <x v="0"/>
    <n v="38"/>
    <n v="0.34"/>
    <n v="0.14000000000000001"/>
    <n v="0.08"/>
    <n v="3.2"/>
    <n v="10"/>
    <n v="7.1950000000000003"/>
    <n v="101"/>
    <n v="19"/>
    <n v="6.9550000000000001"/>
    <n v="80.8"/>
    <n v="238.2"/>
  </r>
  <r>
    <x v="4"/>
    <s v="2023-05-0792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3-05-16T00:00:00"/>
    <s v="may"/>
    <x v="0"/>
    <n v="39"/>
    <n v="1.74"/>
    <n v="0.98"/>
    <n v="0.64"/>
    <n v="44"/>
    <n v="102.4"/>
    <n v="4.45"/>
    <n v="64.75"/>
    <n v="21.1"/>
    <n v="7.0949999999999998"/>
    <n v="197.85"/>
    <n v="657.5"/>
  </r>
  <r>
    <x v="0"/>
    <s v="2020-11-1868"/>
    <x v="9"/>
    <s v="ESTACION PUENTE AUTOPISTA"/>
    <s v="LOT-205-RIO-700-RIO_NEGRO"/>
    <s v="Rionegro"/>
    <s v="R. 112-5304-2016 - Río Negro - Tramo: 4 - Río Negro"/>
    <x v="0"/>
    <s v="06°10'42,00&quot;"/>
    <s v="75°21'40,00&quot;"/>
    <d v="2020-11-23T00:00:00"/>
    <s v="nov"/>
    <x v="0"/>
    <n v="235"/>
    <n v="0.9"/>
    <n v="0.4"/>
    <n v="0.2"/>
    <n v="7"/>
    <n v="29.8"/>
    <n v="5.07"/>
    <n v="71.8"/>
    <n v="20"/>
    <n v="6.62"/>
    <n v="101.5"/>
    <n v="25780"/>
  </r>
  <r>
    <x v="1"/>
    <s v="2021-02-195"/>
    <x v="9"/>
    <s v="ESTACION PUENTE AUTOPISTA"/>
    <s v="LOT-205-RIO-700-RIO_NEGRO"/>
    <s v="Rionegro"/>
    <s v="R. 112-5304-2016 - Río Negro - Tramo: 4 - Río Negro"/>
    <x v="0"/>
    <s v="06°10'42,00&quot;"/>
    <s v="75°21'40,00&quot;"/>
    <d v="2021-02-01T00:00:00"/>
    <s v="feb"/>
    <x v="1"/>
    <n v="258"/>
    <n v="1.42"/>
    <n v="0.94"/>
    <n v="0.42"/>
    <n v="12"/>
    <n v="34.799999999999997"/>
    <n v="1.85"/>
    <n v="26.2"/>
    <n v="19.899999999999999"/>
    <n v="7"/>
    <n v="210"/>
    <n v="2844.85"/>
  </r>
  <r>
    <x v="4"/>
    <s v="2023-11-2323"/>
    <x v="3"/>
    <s v="ROMERAL"/>
    <s v="LOT-085-GUA-100-LA_MOSCA"/>
    <s v="Guarne"/>
    <s v="R. 112-5304-2016 - Río Negro - Tramo: 12 - Quebrada La Mosca"/>
    <x v="2"/>
    <s v="06°18'32,19&quot;"/>
    <s v="75°27'33,70&quot;"/>
    <d v="2023-11-21T00:00:00"/>
    <s v="nov"/>
    <x v="0"/>
    <n v="40"/>
    <n v="0.24"/>
    <n v="0.12"/>
    <n v="0.08"/>
    <n v="13.2"/>
    <n v="12.2"/>
    <n v="7.45"/>
    <n v="99.5"/>
    <n v="16.7"/>
    <n v="7.57"/>
    <n v="52.3"/>
    <n v="177.3"/>
  </r>
  <r>
    <x v="4"/>
    <s v="2023-11-2324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3-11-21T00:00:00"/>
    <s v="nov"/>
    <x v="0"/>
    <n v="41"/>
    <n v="0.24"/>
    <n v="0.12"/>
    <n v="0.1"/>
    <n v="2.2999999999999998"/>
    <n v="0"/>
    <n v="7.23"/>
    <n v="98.1"/>
    <n v="17.2"/>
    <n v="7.3650000000000002"/>
    <n v="53"/>
    <n v="446.4"/>
  </r>
  <r>
    <x v="4"/>
    <s v="2023-11-2325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3-11-21T00:00:00"/>
    <s v="nov"/>
    <x v="0"/>
    <n v="42"/>
    <n v="0.2"/>
    <n v="0.08"/>
    <n v="0.06"/>
    <n v="10.3"/>
    <n v="15.6"/>
    <n v="6.09"/>
    <n v="82.4"/>
    <n v="17.600000000000001"/>
    <n v="7.37"/>
    <n v="108.95"/>
    <n v="1703.1"/>
  </r>
  <r>
    <x v="4"/>
    <s v="2023-11-2326"/>
    <x v="3"/>
    <s v="OMYA"/>
    <s v="LOT-088-GUA-400-LA_MOSCA"/>
    <s v="Guarne"/>
    <s v="R. 112-5304-2016 - Río Negro - Tramo: 13 - Quebrada La Mosca"/>
    <x v="2"/>
    <s v="06°13'34,97&quot;"/>
    <s v="75°24'07,65&quot;"/>
    <d v="2023-11-21T00:00:00"/>
    <s v="nov"/>
    <x v="0"/>
    <n v="43"/>
    <n v="0.16"/>
    <n v="0.04"/>
    <n v="0.02"/>
    <n v="1.8"/>
    <n v="0"/>
    <n v="5.66"/>
    <n v="77.45"/>
    <n v="18.3"/>
    <n v="7.16"/>
    <n v="90.05"/>
    <s v="N.D."/>
  </r>
  <r>
    <x v="4"/>
    <s v="2023-11-2327"/>
    <x v="4"/>
    <s v="ESTACION RIOTEX"/>
    <s v="LOT-179-RIO-500-LA_MOSCA"/>
    <s v="Rionegro"/>
    <s v="R. 112-5304-2016 - Río Negro - Tramo: 13 - Quebrada La Mosca"/>
    <x v="2"/>
    <s v="06°10'51,60&quot;"/>
    <s v="75°22'00,15&quot;"/>
    <d v="2023-11-21T00:00:00"/>
    <s v="nov"/>
    <x v="0"/>
    <n v="44"/>
    <n v="0.18"/>
    <n v="0.06"/>
    <n v="0.02"/>
    <n v="5.3"/>
    <n v="13.1"/>
    <n v="5.1150000000000002"/>
    <n v="72.5"/>
    <n v="19.8"/>
    <n v="6.9950000000000001"/>
    <n v="88.05"/>
    <s v="N.D."/>
  </r>
  <r>
    <x v="1"/>
    <s v="2021-11-2222"/>
    <x v="9"/>
    <s v="ESTACION PUENTE AUTOPISTA"/>
    <s v="LOT-205-RIO-700-RIO_NEGRO"/>
    <s v="Rionegro"/>
    <s v="R. 112-5304-2016 - Río Negro - Tramo: 4 - Río Negro"/>
    <x v="0"/>
    <s v="06°10'42,00&quot;"/>
    <s v="75°21'40,00&quot;"/>
    <d v="2021-11-29T00:00:00"/>
    <s v="nov"/>
    <x v="0"/>
    <n v="281"/>
    <n v="1.1000000000000001"/>
    <n v="0.6"/>
    <n v="0.4"/>
    <n v="2.5"/>
    <n v="11.8"/>
    <n v="5.55"/>
    <n v="74.45"/>
    <n v="19.3"/>
    <n v="6.77"/>
    <n v="73.2"/>
    <s v="N.D."/>
  </r>
  <r>
    <x v="3"/>
    <s v="2022-02-0220"/>
    <x v="9"/>
    <s v="ESTACION PUENTE AUTOPISTA"/>
    <s v="LOT-205-RIO-700-RIO_NEGRO"/>
    <s v="Rionegro"/>
    <s v="R. 112-5304-2016 - Río Negro - Tramo: 4 - Río Negro"/>
    <x v="0"/>
    <s v="06°10'42,00&quot;"/>
    <s v="75°21'40,00&quot;"/>
    <d v="2022-02-22T00:00:00"/>
    <s v="feb"/>
    <x v="1"/>
    <n v="138"/>
    <n v="1.1000000000000001"/>
    <n v="0.4"/>
    <n v="0.2"/>
    <n v="10.8"/>
    <n v="38.700000000000003"/>
    <n v="4.6050000000000004"/>
    <n v="62.95"/>
    <n v="18.3"/>
    <n v="6.8049999999999997"/>
    <s v="N.D."/>
    <n v="11734.3"/>
  </r>
  <r>
    <x v="3"/>
    <s v="2022-06-0908"/>
    <x v="9"/>
    <s v="ESTACION PUENTE AUTOPISTA"/>
    <s v="LOT-205-RIO-700-RIO_NEGRO"/>
    <s v="Rionegro"/>
    <s v="R. 112-5304-2016 - Río Negro - Tramo: 4 - Río Negro"/>
    <x v="0"/>
    <s v="06°10'42,00&quot;"/>
    <s v="75°21'40,00&quot;"/>
    <d v="2022-06-08T00:00:00"/>
    <s v="jun"/>
    <x v="0"/>
    <n v="148"/>
    <n v="0.5"/>
    <n v="0.2"/>
    <n v="0.1"/>
    <n v="10.8"/>
    <n v="21.9"/>
    <n v="5.5549999999999997"/>
    <n v="73.5"/>
    <n v="16.600000000000001"/>
    <n v="6.85"/>
    <n v="72.650000000000006"/>
    <n v="45152.5"/>
  </r>
  <r>
    <x v="3"/>
    <s v="2022-11-2188"/>
    <x v="9"/>
    <s v="ESTACION PUENTE AUTOPISTA"/>
    <s v="LOT-205-RIO-700-RIO_NEGRO"/>
    <s v="Rionegro"/>
    <s v="R. 112-5304-2016 - Río Negro - Tramo: 4 - Río Negro"/>
    <x v="0"/>
    <s v="06°10'42,00&quot;"/>
    <s v="75°21'40,00&quot;"/>
    <d v="2022-11-23T00:00:00"/>
    <s v="nov"/>
    <x v="0"/>
    <n v="158"/>
    <n v="1.68"/>
    <n v="0.98"/>
    <n v="0.64"/>
    <n v="13"/>
    <n v="52.7"/>
    <n v="5.7050000000000001"/>
    <n v="77.25"/>
    <n v="17.899999999999999"/>
    <n v="6.8550000000000004"/>
    <n v="85.05"/>
    <s v="N.D."/>
  </r>
  <r>
    <x v="4"/>
    <s v="2023-02-0227"/>
    <x v="9"/>
    <s v="ESTACION PUENTE AUTOPISTA"/>
    <s v="LOT-205-RIO-700-RIO_NEGRO"/>
    <s v="Rionegro"/>
    <s v="R. 112-5304-2016 - Río Negro - Tramo: 4 - Río Negro"/>
    <x v="0"/>
    <s v="06°10'42,00&quot;"/>
    <s v="75°21'40,00&quot;"/>
    <d v="2023-02-28T00:00:00"/>
    <s v="feb"/>
    <x v="1"/>
    <n v="108"/>
    <n v="1.46"/>
    <n v="0.94"/>
    <n v="0.7"/>
    <n v="10.3"/>
    <n v="44.7"/>
    <n v="1.905"/>
    <n v="28.45"/>
    <n v="22.5"/>
    <n v="7.05"/>
    <n v="225"/>
    <s v="N.D."/>
  </r>
  <r>
    <x v="4"/>
    <s v="2023-05-0712"/>
    <x v="9"/>
    <s v="ESTACION PUENTE AUTOPISTA"/>
    <s v="LOT-205-RIO-700-RIO_NEGRO"/>
    <s v="Rionegro"/>
    <s v="R. 112-5304-2016 - Río Negro - Tramo: 4 - Río Negro"/>
    <x v="0"/>
    <s v="06°10'42,00&quot;"/>
    <s v="75°21'40,00&quot;"/>
    <d v="2023-05-10T00:00:00"/>
    <s v="may"/>
    <x v="0"/>
    <n v="118"/>
    <n v="1"/>
    <n v="0.57999999999999996"/>
    <n v="0.28000000000000003"/>
    <n v="12.4"/>
    <n v="46"/>
    <n v="1.69"/>
    <n v="24.8"/>
    <n v="21.9"/>
    <n v="6.9749999999999996"/>
    <n v="195.5"/>
    <s v="N.D."/>
  </r>
  <r>
    <x v="4"/>
    <s v="2023-11-2339"/>
    <x v="9"/>
    <s v="ESTACION PUENTE AUTOPISTA"/>
    <s v="LOT-205-RIO-700-RIO_NEGRO"/>
    <s v="Rionegro"/>
    <s v="R. 112-5304-2016 - Río Negro - Tramo: 4 - Río Negro"/>
    <x v="0"/>
    <s v="06°10'42,00&quot;"/>
    <s v="75°21'40,00&quot;"/>
    <d v="2023-11-22T00:00:00"/>
    <s v="nov"/>
    <x v="0"/>
    <n v="130"/>
    <n v="0.28000000000000003"/>
    <n v="0.16"/>
    <n v="0.04"/>
    <n v="4.4000000000000004"/>
    <n v="5.6"/>
    <n v="4.085"/>
    <n v="58.45"/>
    <n v="20.5"/>
    <n v="6.85"/>
    <n v="125.45"/>
    <s v="N.D."/>
  </r>
  <r>
    <x v="5"/>
    <s v="2024-06-0857"/>
    <x v="10"/>
    <s v="ESTACION LA FRESERA"/>
    <s v="LOT-206-RIO-800-RIO_NEGRO"/>
    <s v="Rionegro"/>
    <s v="R. 112-5304-2016 - Río Negro - Tramo: 5 - Río Negro"/>
    <x v="0"/>
    <s v="06°11'49,00&quot;"/>
    <s v="75°20'52,00&quot;"/>
    <d v="2024-06-18T00:00:00"/>
    <s v="jun"/>
    <x v="0"/>
    <m/>
    <n v="0.88"/>
    <n v="0.46"/>
    <n v="0.28000000000000003"/>
    <n v="3.3"/>
    <n v="19.7"/>
    <n v="3.645"/>
    <n v="51.1"/>
    <n v="19.899999999999999"/>
    <n v="6.8650000000000002"/>
    <n v="116.9"/>
    <s v="N.D."/>
  </r>
  <r>
    <x v="4"/>
    <s v="2023-11-2340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3-11-22T00:00:00"/>
    <s v="nov"/>
    <x v="0"/>
    <n v="45"/>
    <n v="0.34"/>
    <n v="0.18"/>
    <n v="0.08"/>
    <n v="2.4"/>
    <n v="12.1"/>
    <n v="6.23"/>
    <n v="87.9"/>
    <n v="19.5"/>
    <n v="7.0250000000000004"/>
    <n v="101.75"/>
    <s v="N.D."/>
  </r>
  <r>
    <x v="4"/>
    <s v="2023-11-2341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3-11-22T00:00:00"/>
    <s v="nov"/>
    <x v="0"/>
    <n v="46"/>
    <n v="0.4"/>
    <n v="0.18"/>
    <n v="0.02"/>
    <n v="3.8"/>
    <n v="14.9"/>
    <n v="5.2350000000000003"/>
    <n v="74.05"/>
    <n v="19.8"/>
    <n v="6.99"/>
    <n v="115.25"/>
    <s v="N.D."/>
  </r>
  <r>
    <x v="4"/>
    <s v="2023-11-2342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3-11-22T00:00:00"/>
    <s v="nov"/>
    <x v="0"/>
    <n v="47"/>
    <n v="0.38"/>
    <n v="0.16"/>
    <n v="0.08"/>
    <n v="5.0999999999999996"/>
    <n v="20.9"/>
    <n v="5.16"/>
    <n v="74.05"/>
    <n v="20.6"/>
    <n v="7"/>
    <n v="103.35"/>
    <s v="N.D."/>
  </r>
  <r>
    <x v="4"/>
    <s v="2023-11-2343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3-11-22T00:00:00"/>
    <s v="nov"/>
    <x v="0"/>
    <n v="48"/>
    <n v="0.24"/>
    <n v="0.16"/>
    <n v="0.1"/>
    <n v="9.6999999999999993"/>
    <n v="48.4"/>
    <n v="2.7549999999999999"/>
    <n v="39.65"/>
    <n v="20.2"/>
    <n v="6.77"/>
    <n v="135.80000000000001"/>
    <s v="N.D."/>
  </r>
  <r>
    <x v="4"/>
    <s v="2023-11-2375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3-11-28T00:00:00"/>
    <s v="nov"/>
    <x v="0"/>
    <n v="49"/>
    <n v="0.5"/>
    <n v="0.2"/>
    <n v="0.08"/>
    <n v="5.2"/>
    <n v="10.6"/>
    <n v="4.08"/>
    <n v="58"/>
    <n v="20.399999999999999"/>
    <n v="6.585"/>
    <n v="136.44999999999999"/>
    <n v="1611"/>
  </r>
  <r>
    <x v="4"/>
    <s v="2023-11-2376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3-11-28T00:00:00"/>
    <s v="nov"/>
    <x v="0"/>
    <n v="50"/>
    <n v="1.06"/>
    <n v="0.57999999999999996"/>
    <n v="0.36"/>
    <n v="6.8"/>
    <n v="21.9"/>
    <n v="4.0750000000000002"/>
    <n v="59.4"/>
    <n v="22"/>
    <n v="6.93"/>
    <n v="222"/>
    <s v="N.D."/>
  </r>
  <r>
    <x v="4"/>
    <s v="2023-11-2390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3-11-29T00:00:00"/>
    <s v="nov"/>
    <x v="0"/>
    <n v="51"/>
    <n v="0.76"/>
    <n v="0.46"/>
    <n v="0.32"/>
    <n v="2.7"/>
    <n v="22.9"/>
    <n v="6.8849999999999998"/>
    <n v="100.5"/>
    <n v="20.5"/>
    <n v="7.4349999999999996"/>
    <n v="88.2"/>
    <n v="322.89999999999998"/>
  </r>
  <r>
    <x v="4"/>
    <s v="2023-11-2391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3-11-29T00:00:00"/>
    <s v="nov"/>
    <x v="0"/>
    <n v="52"/>
    <n v="0.64"/>
    <n v="0.26"/>
    <n v="0.14000000000000001"/>
    <n v="14.5"/>
    <n v="78"/>
    <n v="4.7"/>
    <n v="69.7"/>
    <n v="21.6"/>
    <n v="7.17"/>
    <n v="160.6"/>
    <s v="N.D."/>
  </r>
  <r>
    <x v="5"/>
    <s v="2024-11-2000"/>
    <x v="10"/>
    <s v="ESTACION LA FRESERA"/>
    <s v="LOT-206-RIO-800-RIO_NEGRO"/>
    <s v="Rionegro"/>
    <s v="R. 112-5304-2016 - Río Negro - Tramo: 5 - Río Negro"/>
    <x v="0"/>
    <s v="06°11'49,00&quot;"/>
    <s v="75°20'52,00&quot;"/>
    <d v="2024-11-26T00:00:00"/>
    <s v="nov"/>
    <x v="0"/>
    <m/>
    <n v="1.86"/>
    <n v="1.22"/>
    <n v="1.1000000000000001"/>
    <n v="2.2000000000000002"/>
    <n v="9.8000000000000007"/>
    <n v="2.7549999999999999"/>
    <n v="37.950000000000003"/>
    <n v="18.7"/>
    <n v="6.77"/>
    <n v="123.05"/>
    <s v="N.D."/>
  </r>
  <r>
    <x v="5"/>
    <s v="2024-02-0171"/>
    <x v="10"/>
    <s v="ESTACION LA FRESERA"/>
    <s v="LOT-206-RIO-800-RIO_NEGRO"/>
    <s v="Rionegro"/>
    <s v="R. 112-5304-2016 - Río Negro - Tramo: 5 - Río Negro"/>
    <x v="0"/>
    <s v="06°11'49,00&quot;"/>
    <s v="75°20'52,00&quot;"/>
    <d v="2024-02-27T00:00:00"/>
    <s v="feb"/>
    <x v="1"/>
    <n v="91"/>
    <n v="1.28"/>
    <n v="0.66"/>
    <n v="0.44"/>
    <n v="22.7"/>
    <n v="60.7"/>
    <n v="0.36"/>
    <n v="5.3"/>
    <n v="20.399999999999999"/>
    <n v="6.9450000000000003"/>
    <n v="260.5"/>
    <s v="N.D."/>
  </r>
  <r>
    <x v="5"/>
    <s v="2024-06-0860"/>
    <x v="0"/>
    <s v="ROMERAL"/>
    <s v="LOT-085-GUA-100-LA_MOSCA"/>
    <s v="Guarne"/>
    <s v="R. 112-5304-2016 - Río Negro - Tramo: 12 - Quebrada La Mosca"/>
    <x v="2"/>
    <s v="06°18'32,19&quot;"/>
    <s v="75°27'33,70&quot;"/>
    <d v="2024-06-18T00:00:00"/>
    <s v="jun"/>
    <x v="0"/>
    <m/>
    <n v="0.46"/>
    <n v="0.16"/>
    <n v="0.08"/>
    <n v="1.6"/>
    <n v="14.3"/>
    <n v="7.1950000000000003"/>
    <n v="99.2"/>
    <n v="17.899999999999999"/>
    <n v="7.48"/>
    <n v="67.5"/>
    <n v="141.5"/>
  </r>
  <r>
    <x v="5"/>
    <s v="2024-11-2003"/>
    <x v="0"/>
    <s v="ROMERAL"/>
    <s v="LOT-085-GUA-100-LA_MOSCA"/>
    <s v="Guarne"/>
    <s v="R. 112-5304-2016 - Río Negro - Tramo: 12 - Quebrada La Mosca"/>
    <x v="2"/>
    <s v="06°18'32,19&quot;"/>
    <s v="75°27'33,70&quot;"/>
    <d v="2024-11-26T00:00:00"/>
    <s v="nov"/>
    <x v="0"/>
    <m/>
    <n v="0.24"/>
    <n v="0.16"/>
    <n v="0.16"/>
    <n v="0.4"/>
    <n v="11.6"/>
    <n v="7.4049999999999994"/>
    <n v="101.15"/>
    <n v="17.399999999999999"/>
    <n v="7.53"/>
    <n v="77.45"/>
    <n v="127.6"/>
  </r>
  <r>
    <x v="5"/>
    <s v="2024-02-0175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4-02-27T00:00:00"/>
    <s v="feb"/>
    <x v="1"/>
    <n v="2"/>
    <n v="0.57999999999999996"/>
    <n v="0.3"/>
    <n v="0.18"/>
    <n v="2.4"/>
    <n v="4.2"/>
    <n v="6.5250000000000004"/>
    <n v="92.3"/>
    <n v="18.8"/>
    <n v="6.7"/>
    <n v="86.3"/>
    <n v="128.4"/>
  </r>
  <r>
    <x v="5"/>
    <s v="2024-06-0861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4-06-18T00:00:00"/>
    <s v="jun"/>
    <x v="0"/>
    <m/>
    <n v="0.44"/>
    <n v="0.18"/>
    <n v="0.08"/>
    <n v="1.7"/>
    <n v="10.3"/>
    <n v="7.2050000000000001"/>
    <n v="98.95"/>
    <n v="18.2"/>
    <n v="7.335"/>
    <n v="67.099999999999994"/>
    <n v="570"/>
  </r>
  <r>
    <x v="5"/>
    <s v="2024-11-2004"/>
    <x v="1"/>
    <s v="ESTACION PUENTE MOLINO"/>
    <s v="LOT-086-GUA-200-LA_MOSCA"/>
    <s v="Guarne"/>
    <s v="R. 112-5304-2016 - Río Negro - Tramo: 13 - Quebrada La Mosca"/>
    <x v="2"/>
    <s v="06°18'14,20&quot;"/>
    <s v="75°27'23,60&quot;"/>
    <d v="2024-11-26T00:00:00"/>
    <s v="nov"/>
    <x v="0"/>
    <m/>
    <n v="0.36"/>
    <n v="0.2"/>
    <n v="0.16"/>
    <n v="1.2"/>
    <n v="14.95"/>
    <n v="7.2249999999999996"/>
    <n v="101.05"/>
    <n v="18.7"/>
    <n v="7.55"/>
    <n v="79"/>
    <n v="224.7"/>
  </r>
  <r>
    <x v="0"/>
    <s v=" 2020-08-1126 "/>
    <x v="10"/>
    <s v="ESTACION LA FRESERA"/>
    <s v="LOT-206-RIO-800-RIO_NEGRO"/>
    <s v="Rionegro"/>
    <s v="R. 112-5304-2016 - Río Negro - Tramo: 5 - Río Negro"/>
    <x v="0"/>
    <s v="06°11'49,00&quot;"/>
    <s v="75°20'52,00&quot;"/>
    <d v="2020-08-25T00:00:00"/>
    <s v="ago"/>
    <x v="0"/>
    <n v="214"/>
    <n v="0.9"/>
    <n v="0.3"/>
    <n v="0.1"/>
    <n v="2.5"/>
    <n v="28.6"/>
    <n v="3.76"/>
    <n v="51.6"/>
    <n v="18.7"/>
    <n v="6.38"/>
    <n v="100.1"/>
    <s v="N.D."/>
  </r>
  <r>
    <x v="0"/>
    <s v=" 2020-11-1875 "/>
    <x v="10"/>
    <s v="ESTACION LA FRESERA"/>
    <s v="LOT-206-RIO-800-RIO_NEGRO"/>
    <s v="Rionegro"/>
    <s v="R. 112-5304-2016 - Río Negro - Tramo: 5 - Río Negro"/>
    <x v="0"/>
    <s v="06°11'49,00&quot;"/>
    <s v="75°20'52,00&quot;"/>
    <d v="2020-11-24T00:00:00"/>
    <s v="nov"/>
    <x v="0"/>
    <n v="236"/>
    <n v="0.8"/>
    <n v="0.4"/>
    <n v="0.2"/>
    <n v="4"/>
    <n v="17.5"/>
    <n v="4.17"/>
    <n v="56.9"/>
    <n v="18"/>
    <n v="6.23"/>
    <n v="106.9"/>
    <s v="N.D."/>
  </r>
  <r>
    <x v="1"/>
    <s v=" 2021-07-1224 "/>
    <x v="10"/>
    <s v="ESTACION LA FRESERA"/>
    <s v="LOT-206-RIO-800-RIO_NEGRO"/>
    <s v="Rionegro"/>
    <s v="R. 112-5304-2016 - Río Negro - Tramo: 5 - Río Negro"/>
    <x v="0"/>
    <s v="06°11'49,00&quot;"/>
    <s v="75°20'52,00&quot;"/>
    <d v="2021-07-13T00:00:00"/>
    <s v="jul"/>
    <x v="0"/>
    <n v="305"/>
    <n v="0.5"/>
    <n v="0.3"/>
    <n v="0.1"/>
    <n v="10.3"/>
    <n v="29.9"/>
    <n v="4.37"/>
    <n v="59.3"/>
    <n v="19.7"/>
    <n v="6.91"/>
    <n v="97.4"/>
    <n v="7543.53"/>
  </r>
  <r>
    <x v="2"/>
    <s v="2019-11-2777"/>
    <x v="10"/>
    <s v="ESTACION LA FRESERA"/>
    <s v="LOT-206-RIO-800-RIO_NEGRO"/>
    <s v="Rionegro"/>
    <s v="R. 112-5304-2016 - Río Negro - Tramo: 5 - Río Negro"/>
    <x v="0"/>
    <s v="06°11'49,00&quot;"/>
    <s v="75°20'52,00&quot;"/>
    <d v="2019-11-25T00:00:00"/>
    <s v="nov"/>
    <x v="0"/>
    <n v="169"/>
    <n v="0.8"/>
    <n v="0.3"/>
    <n v="0.1"/>
    <n v="4.4000000000000004"/>
    <n v="19.3"/>
    <n v="3.43"/>
    <n v="47.9"/>
    <n v="19"/>
    <n v="6.65"/>
    <n v="96"/>
    <n v="23788.1"/>
  </r>
  <r>
    <x v="0"/>
    <s v="2020-02-0242_C"/>
    <x v="10"/>
    <s v="ESTACION LA FRESERA"/>
    <s v="LOT-206-RIO-800-RIO_NEGRO"/>
    <s v="Rionegro"/>
    <s v="R. 112-5304-2016 - Río Negro - Tramo: 5 - Río Negro"/>
    <x v="0"/>
    <s v="06°11'49,00&quot;"/>
    <s v="75°20'52,00&quot;"/>
    <d v="2020-02-24T00:00:00"/>
    <s v="feb"/>
    <x v="1"/>
    <n v="192"/>
    <n v="1.3"/>
    <n v="0.8"/>
    <n v="0.4"/>
    <n v="6.6"/>
    <n v="31.4"/>
    <n v="1.52"/>
    <n v="21.3"/>
    <n v="23.2"/>
    <n v="7.4"/>
    <n v="171.7"/>
    <n v="4245.24"/>
  </r>
  <r>
    <x v="1"/>
    <s v="2021-02-219"/>
    <x v="10"/>
    <s v="ESTACION LA FRESERA"/>
    <s v="LOT-206-RIO-800-RIO_NEGRO"/>
    <s v="Rionegro"/>
    <s v="R. 112-5304-2016 - Río Negro - Tramo: 5 - Río Negro"/>
    <x v="0"/>
    <s v="06°11'49,00&quot;"/>
    <s v="75°20'52,00&quot;"/>
    <d v="2021-02-02T00:00:00"/>
    <s v="feb"/>
    <x v="1"/>
    <n v="259"/>
    <n v="1.48"/>
    <n v="1.06"/>
    <n v="0.7"/>
    <n v="7.7"/>
    <n v="10"/>
    <n v="5.57"/>
    <n v="76.400000000000006"/>
    <n v="18"/>
    <n v="6.91"/>
    <n v="160.80000000000001"/>
    <s v="N.D."/>
  </r>
  <r>
    <x v="1"/>
    <s v="2021-12-2342"/>
    <x v="10"/>
    <s v="ESTACION LA FRESERA"/>
    <s v="LOT-206-RIO-800-RIO_NEGRO"/>
    <s v="Rionegro"/>
    <s v="R. 112-5304-2016 - Río Negro - Tramo: 5 - Río Negro"/>
    <x v="0"/>
    <s v="06°11'49,00&quot;"/>
    <s v="75°20'52,00&quot;"/>
    <d v="2021-12-06T00:00:00"/>
    <s v="dic"/>
    <x v="1"/>
    <n v="282"/>
    <n v="0.4"/>
    <n v="0.3"/>
    <n v="0.1"/>
    <n v="3.9"/>
    <n v="25.4"/>
    <n v="4.84"/>
    <n v="67.400000000000006"/>
    <n v="19.100000000000001"/>
    <n v="6.81"/>
    <n v="56.6"/>
    <s v="N.D."/>
  </r>
  <r>
    <x v="3"/>
    <s v="2022-02-0228"/>
    <x v="10"/>
    <s v="ESTACION LA FRESERA"/>
    <s v="LOT-206-RIO-800-RIO_NEGRO"/>
    <s v="Rionegro"/>
    <s v="R. 112-5304-2016 - Río Negro - Tramo: 5 - Río Negro"/>
    <x v="0"/>
    <s v="06°11'49,00&quot;"/>
    <s v="75°20'52,00&quot;"/>
    <d v="2022-02-23T00:00:00"/>
    <s v="feb"/>
    <x v="1"/>
    <n v="139"/>
    <n v="0.9"/>
    <n v="0.4"/>
    <n v="0.3"/>
    <n v="16.2"/>
    <n v="56.6"/>
    <n v="3.8250000000000002"/>
    <n v="55.55"/>
    <n v="20.5"/>
    <n v="6.76"/>
    <n v="114.45"/>
    <n v="21850.6"/>
  </r>
  <r>
    <x v="5"/>
    <s v="2024-02-0194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4-02-27T00:00:00"/>
    <s v="feb"/>
    <x v="1"/>
    <m/>
    <n v="1.96"/>
    <n v="1.1200000000000001"/>
    <n v="0.78"/>
    <n v="24.4"/>
    <n v="71.400000000000006"/>
    <n v="1.35"/>
    <n v="20.399999999999999"/>
    <n v="23.1"/>
    <n v="7.1950000000000003"/>
    <n v="232"/>
    <s v="N.D."/>
  </r>
  <r>
    <x v="5"/>
    <s v="2024-06-0848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4-06-18T00:00:00"/>
    <s v="jun"/>
    <x v="0"/>
    <m/>
    <n v="1"/>
    <n v="0.5"/>
    <n v="0.3"/>
    <n v="7.7"/>
    <n v="41.1"/>
    <n v="4.0950000000000006"/>
    <n v="57.599999999999994"/>
    <n v="22"/>
    <n v="7.25"/>
    <n v="147.69999999999999"/>
    <s v="N.D."/>
  </r>
  <r>
    <x v="5"/>
    <s v="2024-11-1996"/>
    <x v="3"/>
    <s v="ESTACION ALCARAVANES"/>
    <s v="LOT-140-MAR-700-LA_MARINILLA"/>
    <s v="Marinilla"/>
    <s v="R. 112-5304-2016 - Río Negro - Tramo: 14 - Quebrada La Marinilla"/>
    <x v="1"/>
    <s v="06°11'05,96&quot;"/>
    <s v="75°21'01,26&quot;"/>
    <d v="2024-11-26T00:00:00"/>
    <s v="nov"/>
    <x v="0"/>
    <m/>
    <n v="2.2400000000000002"/>
    <n v="1.5"/>
    <n v="1.34"/>
    <n v="8.6999999999999993"/>
    <n v="19"/>
    <n v="2.58"/>
    <n v="36.200000000000003"/>
    <n v="19.899999999999999"/>
    <n v="6.78"/>
    <n v="147.64999999999998"/>
    <s v="N.D."/>
  </r>
  <r>
    <x v="5"/>
    <s v="2024-02-0193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4-02-27T00:00:00"/>
    <s v="feb"/>
    <x v="1"/>
    <m/>
    <n v="0.74"/>
    <n v="0.36"/>
    <n v="0.22"/>
    <n v="13.6"/>
    <n v="37.4"/>
    <n v="4.9000000000000004"/>
    <n v="73.650000000000006"/>
    <n v="21.8"/>
    <n v="7.335"/>
    <n v="162.55000000000001"/>
    <s v="N.D."/>
  </r>
  <r>
    <x v="5"/>
    <s v="2024-03-0233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4-03-05T00:00:00"/>
    <s v="mar"/>
    <x v="1"/>
    <m/>
    <n v="0.62"/>
    <n v="0.26"/>
    <n v="0.14000000000000001"/>
    <n v="2.2000000000000002"/>
    <n v="24.4"/>
    <n v="6.8550000000000004"/>
    <n v="101.45"/>
    <n v="21.1"/>
    <n v="7.0950000000000006"/>
    <n v="120.80000000000001"/>
    <n v="158.9"/>
  </r>
  <r>
    <x v="5"/>
    <s v="2024-06-0909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4-06-25T00:00:00"/>
    <s v="jun"/>
    <x v="0"/>
    <m/>
    <n v="0.52"/>
    <n v="0.18"/>
    <n v="0.08"/>
    <n v="1.3"/>
    <n v="9.2899999999999991"/>
    <n v="7.27"/>
    <n v="101.95"/>
    <n v="18"/>
    <n v="7.15"/>
    <n v="69.150000000000006"/>
    <n v="1346.5"/>
  </r>
  <r>
    <x v="5"/>
    <s v="2024-12-2091"/>
    <x v="0"/>
    <s v="ESTACION PUENTE LARGA"/>
    <s v="LOT-044-CAR-200-LA_CIMARRONA"/>
    <s v="El Carmen de Viboral"/>
    <s v="R. 112-5304-2016 - Río Negro - Tramo: 10 - Quebrada La Cimarrona"/>
    <x v="3"/>
    <s v="06°04'05,00&quot;"/>
    <s v="75°19'18,00&quot;"/>
    <d v="2024-12-03T00:00:00"/>
    <s v="dic"/>
    <x v="0"/>
    <m/>
    <n v="0.32"/>
    <n v="0.1"/>
    <n v="0.1"/>
    <n v="1.5"/>
    <n v="18.3"/>
    <n v="7.7050000000000001"/>
    <n v="106.7"/>
    <n v="18.600000000000001"/>
    <n v="7.1550000000000002"/>
    <n v="80.3"/>
    <s v="N.D."/>
  </r>
  <r>
    <x v="5"/>
    <s v="2024-03-0234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4-03-05T00:00:00"/>
    <s v="mar"/>
    <x v="1"/>
    <m/>
    <n v="3.88"/>
    <n v="2.46"/>
    <n v="1.7"/>
    <n v="61.5"/>
    <n v="156.6"/>
    <n v="3.71"/>
    <n v="55.400000000000006"/>
    <n v="22.4"/>
    <n v="7.1749999999999998"/>
    <n v="293.5"/>
    <s v="N.D."/>
  </r>
  <r>
    <x v="3"/>
    <s v="2022-06-0921"/>
    <x v="10"/>
    <s v="ESTACION LA FRESERA"/>
    <s v="LOT-206-RIO-800-RIO_NEGRO"/>
    <s v="Rionegro"/>
    <s v="R. 112-5304-2016 - Río Negro - Tramo: 5 - Río Negro"/>
    <x v="0"/>
    <s v="06°11'49,00&quot;"/>
    <s v="75°20'52,00&quot;"/>
    <d v="2022-06-08T00:00:00"/>
    <s v="jun"/>
    <x v="0"/>
    <n v="149"/>
    <n v="0.7"/>
    <n v="0.3"/>
    <n v="0.2"/>
    <n v="10.199999999999999"/>
    <n v="24"/>
    <n v="4.9749999999999996"/>
    <n v="66.05"/>
    <n v="16.7"/>
    <n v="6.65"/>
    <n v="89.65"/>
    <s v="N.D."/>
  </r>
  <r>
    <x v="3"/>
    <s v="2022-11-2202"/>
    <x v="10"/>
    <s v="ESTACION LA FRESERA"/>
    <s v="LOT-206-RIO-800-RIO_NEGRO"/>
    <s v="Rionegro"/>
    <s v="R. 112-5304-2016 - Río Negro - Tramo: 5 - Río Negro"/>
    <x v="0"/>
    <s v="06°11'49,00&quot;"/>
    <s v="75°20'52,00&quot;"/>
    <d v="2022-11-23T00:00:00"/>
    <s v="nov"/>
    <x v="0"/>
    <n v="159"/>
    <n v="0.78"/>
    <n v="0.34"/>
    <n v="0.16"/>
    <n v="13"/>
    <n v="43.3"/>
    <n v="5.3"/>
    <n v="72"/>
    <n v="17.100000000000001"/>
    <n v="6.54"/>
    <n v="69.2"/>
    <s v="N.D."/>
  </r>
  <r>
    <x v="4"/>
    <s v="2023-03-0253"/>
    <x v="10"/>
    <s v="ESTACION LA FRESERA"/>
    <s v="LOT-206-RIO-800-RIO_NEGRO"/>
    <s v="Rionegro"/>
    <s v="R. 112-5304-2016 - Río Negro - Tramo: 5 - Río Negro"/>
    <x v="0"/>
    <s v="06°11'49,00&quot;"/>
    <s v="75°20'52,00&quot;"/>
    <d v="2023-03-01T00:00:00"/>
    <s v="mar"/>
    <x v="1"/>
    <n v="109"/>
    <n v="1.32"/>
    <n v="0.72"/>
    <n v="0.46"/>
    <s v="&gt;59,3"/>
    <n v="59.6"/>
    <n v="0.44"/>
    <n v="6.3"/>
    <n v="20.399999999999999"/>
    <n v="6.44"/>
    <n v="198.15"/>
    <s v="N.D."/>
  </r>
  <r>
    <x v="4"/>
    <s v="2023-05-0722"/>
    <x v="10"/>
    <s v="ESTACION LA FRESERA"/>
    <s v="LOT-206-RIO-800-RIO_NEGRO"/>
    <s v="Rionegro"/>
    <s v="R. 112-5304-2016 - Río Negro - Tramo: 5 - Río Negro"/>
    <x v="0"/>
    <s v="06°11'49,00&quot;"/>
    <s v="75°20'52,00&quot;"/>
    <d v="2023-05-10T00:00:00"/>
    <s v="may"/>
    <x v="0"/>
    <n v="119"/>
    <n v="0.68"/>
    <n v="0.4"/>
    <n v="0.32"/>
    <n v="3.3"/>
    <n v="9"/>
    <n v="1.855"/>
    <n v="28"/>
    <n v="23.6"/>
    <n v="6.78"/>
    <n v="167.3"/>
    <s v="N.D."/>
  </r>
  <r>
    <x v="4"/>
    <s v="2023-11-2320"/>
    <x v="10"/>
    <s v="ESTACION LA FRESERA"/>
    <s v="LOT-206-RIO-800-RIO_NEGRO"/>
    <s v="Rionegro"/>
    <s v="R. 112-5304-2016 - Río Negro - Tramo: 5 - Río Negro"/>
    <x v="0"/>
    <s v="06°11'49,00&quot;"/>
    <s v="75°20'52,00&quot;"/>
    <d v="2023-11-21T00:00:00"/>
    <s v="nov"/>
    <x v="0"/>
    <n v="121"/>
    <n v="0.3"/>
    <n v="0.12"/>
    <n v="0.04"/>
    <n v="3.8"/>
    <n v="30.2"/>
    <n v="2.9"/>
    <n v="39.6"/>
    <n v="18.399999999999999"/>
    <n v="6.71"/>
    <n v="100.65"/>
    <s v="N.D."/>
  </r>
  <r>
    <x v="5"/>
    <s v="2024-06-0858"/>
    <x v="11"/>
    <s v="ESTACION RIO ABAJO"/>
    <s v="LOT-143-MAR-900-RIO_NEGRO"/>
    <s v="Marinilla"/>
    <s v="R. 112-5304-2016 - Río Negro - Tramo: 6 - Río Negro"/>
    <x v="0"/>
    <s v="06°15'40,60&quot;"/>
    <s v="75°17'43,46&quot;"/>
    <d v="2024-06-18T00:00:00"/>
    <s v="jun"/>
    <x v="0"/>
    <m/>
    <n v="0.8"/>
    <n v="0.38"/>
    <n v="0.24"/>
    <n v="4.9000000000000004"/>
    <n v="10.199999999999999"/>
    <n v="6.0649999999999995"/>
    <n v="84.25"/>
    <n v="18.8"/>
    <n v="7.0149999999999997"/>
    <n v="104.9"/>
    <s v="N.D."/>
  </r>
  <r>
    <x v="5"/>
    <s v="2024-11-2001"/>
    <x v="11"/>
    <s v="ESTACION RIO ABAJO"/>
    <s v="LOT-143-MAR-900-RIO_NEGRO"/>
    <s v="Marinilla"/>
    <s v="R. 112-5304-2016 - Río Negro - Tramo: 6 - Río Negro"/>
    <x v="0"/>
    <s v="06°15'40,60&quot;"/>
    <s v="75°17'43,46&quot;"/>
    <d v="2024-11-26T00:00:00"/>
    <s v="nov"/>
    <x v="0"/>
    <m/>
    <n v="0.9"/>
    <n v="0.46"/>
    <n v="0.34"/>
    <n v="2.6"/>
    <n v="16.100000000000001"/>
    <n v="4.875"/>
    <n v="76.5"/>
    <n v="19.2"/>
    <n v="6.92"/>
    <n v="114.6"/>
    <s v="N.D."/>
  </r>
  <r>
    <x v="5"/>
    <s v="2024-02-0172"/>
    <x v="11"/>
    <s v="ESTACION RIO ABAJO"/>
    <s v="LOT-143-MAR-900-RIO_NEGRO"/>
    <s v="Marinilla"/>
    <s v="R. 112-5304-2016 - Río Negro - Tramo: 6 - Río Negro"/>
    <x v="0"/>
    <s v="06°15'40,60&quot;"/>
    <s v="75°17'43,46&quot;"/>
    <d v="2024-02-27T00:00:00"/>
    <s v="feb"/>
    <x v="1"/>
    <n v="92"/>
    <n v="1.4"/>
    <n v="0.74"/>
    <n v="0.48"/>
    <n v="12.7"/>
    <n v="37.700000000000003"/>
    <n v="3.5150000000000001"/>
    <n v="49.2"/>
    <n v="19.100000000000001"/>
    <n v="7.12"/>
    <n v="238"/>
    <s v="N.D."/>
  </r>
  <r>
    <x v="5"/>
    <s v="2024-06-0847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4-06-18T00:00:00"/>
    <s v="jun"/>
    <x v="0"/>
    <m/>
    <n v="0.9"/>
    <n v="0.42"/>
    <n v="0.24"/>
    <n v="3.6"/>
    <n v="23.4"/>
    <n v="5.5549999999999997"/>
    <n v="78.95"/>
    <n v="20.7"/>
    <n v="7.21"/>
    <n v="128.30000000000001"/>
    <s v="N.D."/>
  </r>
  <r>
    <x v="5"/>
    <s v="2024-11-1995"/>
    <x v="2"/>
    <s v="ESTACION PUENTE LA FERIA"/>
    <s v="LOT-139-MAR-600-LA_MARINILLA"/>
    <s v="Marinilla"/>
    <s v="R. 112-5304-2016 - Río Negro - Tramo: 14 - Quebrada La Marinilla"/>
    <x v="1"/>
    <s v="06°10'21,02&quot;"/>
    <s v="75°20'16,34&quot;"/>
    <d v="2024-11-26T00:00:00"/>
    <s v="nov"/>
    <x v="0"/>
    <m/>
    <n v="1.88"/>
    <n v="1.06"/>
    <n v="0.8"/>
    <n v="3.5"/>
    <n v="15.1"/>
    <n v="4.6749999999999998"/>
    <n v="65.599999999999994"/>
    <n v="19.7"/>
    <n v="6.8650000000000002"/>
    <n v="108.8"/>
    <s v="N.D."/>
  </r>
  <r>
    <x v="5"/>
    <s v="2024-02-0192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4-02-27T00:00:00"/>
    <s v="feb"/>
    <x v="1"/>
    <m/>
    <n v="0.84"/>
    <n v="0.38"/>
    <n v="0.2"/>
    <n v="2.6"/>
    <n v="7.9"/>
    <n v="5.22"/>
    <n v="77.5"/>
    <n v="21.3"/>
    <n v="7.2799999999999994"/>
    <n v="122.35"/>
    <s v="N.D."/>
  </r>
  <r>
    <x v="5"/>
    <s v="2024-06-0846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4-06-18T00:00:00"/>
    <s v="jun"/>
    <x v="0"/>
    <m/>
    <n v="0.74"/>
    <n v="0.3"/>
    <n v="0.16"/>
    <n v="2.1"/>
    <n v="20.2"/>
    <n v="5.88"/>
    <n v="85.25"/>
    <n v="21.1"/>
    <n v="7.2649999999999997"/>
    <n v="118.2"/>
    <s v="N.D."/>
  </r>
  <r>
    <x v="0"/>
    <s v=" 2020-11-1876"/>
    <x v="11"/>
    <s v="ESTACION RIO ABAJO"/>
    <s v="LOT-143-MAR-900-RIO_NEGRO"/>
    <s v="Marinilla"/>
    <s v="R. 112-5304-2016 - Río Negro - Tramo: 6 - Río Negro"/>
    <x v="0"/>
    <s v="06°15'40,60&quot;"/>
    <s v="75°17'43,46&quot;"/>
    <d v="2020-11-24T00:00:00"/>
    <s v="nov"/>
    <x v="0"/>
    <n v="237"/>
    <n v="0.8"/>
    <n v="0.4"/>
    <n v="0.2"/>
    <n v="4"/>
    <n v="23.9"/>
    <n v="6.36"/>
    <n v="89.4"/>
    <n v="19.399999999999999"/>
    <n v="6.89"/>
    <n v="131.6"/>
    <n v="7150"/>
  </r>
  <r>
    <x v="1"/>
    <s v=" 2021-07-1225"/>
    <x v="11"/>
    <s v="ESTACION RIO ABAJO"/>
    <s v="LOT-143-MAR-900-RIO_NEGRO"/>
    <s v="Marinilla"/>
    <s v="R. 112-5304-2016 - Río Negro - Tramo: 6 - Río Negro"/>
    <x v="0"/>
    <s v="06°15'40,60&quot;"/>
    <s v="75°17'43,46&quot;"/>
    <d v="2021-07-13T00:00:00"/>
    <s v="jul"/>
    <x v="0"/>
    <n v="306"/>
    <n v="1"/>
    <n v="0.6"/>
    <n v="0.4"/>
    <n v="11.7"/>
    <n v="54.2"/>
    <n v="6.62"/>
    <n v="91.2"/>
    <n v="18.5"/>
    <n v="7.28"/>
    <n v="46.9"/>
    <s v="N.D."/>
  </r>
  <r>
    <x v="5"/>
    <s v="2024-02-0176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4-02-27T00:00:00"/>
    <s v="feb"/>
    <x v="1"/>
    <n v="3"/>
    <n v="2.52"/>
    <n v="1.5"/>
    <n v="1"/>
    <n v="26.6"/>
    <n v="82.2"/>
    <n v="1.02"/>
    <n v="15.25"/>
    <n v="22"/>
    <n v="6.875"/>
    <n v="306.5"/>
    <n v="435.3"/>
  </r>
  <r>
    <x v="5"/>
    <s v="2024-06-0862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4-06-18T00:00:00"/>
    <s v="jun"/>
    <x v="0"/>
    <m/>
    <n v="0.5"/>
    <n v="0.23"/>
    <n v="0.15"/>
    <n v="8.8000000000000007"/>
    <n v="26"/>
    <n v="5.6749999999999998"/>
    <n v="82"/>
    <n v="20.8"/>
    <n v="7.23"/>
    <n v="130"/>
    <n v="2368.8000000000002"/>
  </r>
  <r>
    <x v="5"/>
    <s v="2024-11-2005"/>
    <x v="2"/>
    <s v="ESTACION BOX COULVERT KM 24"/>
    <s v="LOT-087-GUA-300-LA_MOSCA"/>
    <s v="Guarne"/>
    <s v="R. 112-5304-2016 - Río Negro - Tramo: 13 - Quebrada La Mosca"/>
    <x v="2"/>
    <s v="06°15'55,25&quot;"/>
    <s v="75°26'17,29&quot;"/>
    <d v="2024-11-26T00:00:00"/>
    <s v="nov"/>
    <x v="0"/>
    <m/>
    <n v="1.88"/>
    <n v="1.38"/>
    <n v="1.1000000000000001"/>
    <n v="12.7"/>
    <n v="32.72"/>
    <n v="5.17"/>
    <n v="72.300000000000011"/>
    <n v="19.5"/>
    <n v="7.2450000000000001"/>
    <n v="176.3"/>
    <n v="1408.4"/>
  </r>
  <r>
    <x v="5"/>
    <s v="2024-02-0174"/>
    <x v="0"/>
    <s v="ROMERAL"/>
    <s v="LOT-085-GUA-100-LA_MOSCA"/>
    <s v="Guarne"/>
    <s v="R. 112-5304-2016 - Río Negro - Tramo: 12 - Quebrada La Mosca"/>
    <x v="2"/>
    <s v="06°18'32,19&quot;"/>
    <s v="75°27'33,70&quot;"/>
    <d v="2024-02-27T00:00:00"/>
    <s v="feb"/>
    <x v="1"/>
    <n v="1"/>
    <n v="0.64"/>
    <n v="0.32"/>
    <n v="0.2"/>
    <n v="1.1000000000000001"/>
    <n v="0"/>
    <n v="7.085"/>
    <n v="99.15"/>
    <n v="18"/>
    <n v="7.3049999999999997"/>
    <n v="115.75"/>
    <n v="41.9"/>
  </r>
  <r>
    <x v="5"/>
    <s v="2024-02-0177"/>
    <x v="3"/>
    <s v="OMYA"/>
    <s v="LOT-088-GUA-400-LA_MOSCA"/>
    <s v="Guarne"/>
    <s v="R. 112-5304-2016 - Río Negro - Tramo: 13 - Quebrada La Mosca"/>
    <x v="2"/>
    <s v="06°13'34,97&quot;"/>
    <s v="75°24'07,65&quot;"/>
    <d v="2024-02-27T00:00:00"/>
    <s v="feb"/>
    <x v="1"/>
    <m/>
    <n v="0.96"/>
    <n v="0.46"/>
    <n v="0.28000000000000003"/>
    <n v="4.4000000000000004"/>
    <n v="13.7"/>
    <n v="2.8200000000000003"/>
    <n v="41.5"/>
    <n v="22.1"/>
    <n v="6.99"/>
    <n v="193.89999999999998"/>
    <n v="814.8"/>
  </r>
  <r>
    <x v="5"/>
    <s v="2024-06-0910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4-06-25T00:00:00"/>
    <s v="jun"/>
    <x v="0"/>
    <m/>
    <n v="0.6"/>
    <n v="0.26"/>
    <n v="0.16"/>
    <n v="2.4"/>
    <n v="37.270000000000003"/>
    <n v="6.58"/>
    <n v="93.75"/>
    <n v="20.3"/>
    <n v="7.0149999999999997"/>
    <n v="102.2"/>
    <s v="N.D."/>
  </r>
  <r>
    <x v="5"/>
    <s v="2024-12-2092"/>
    <x v="1"/>
    <s v="ESTACION FLOR SILVESTRE"/>
    <s v="LOT-045-CAR-300-LA_CIMARRONA"/>
    <s v="El Carmen de Viboral"/>
    <s v="R. 112-5304-2016 - Río Negro - Tramo: 11 - Quebrada La Cimarrona"/>
    <x v="3"/>
    <s v="06°05'48,59&quot;"/>
    <s v="75°19'53,32&quot;"/>
    <d v="2024-12-03T00:00:00"/>
    <s v="dic"/>
    <x v="0"/>
    <m/>
    <n v="0.52"/>
    <n v="0.18"/>
    <n v="0.22"/>
    <n v="24.05"/>
    <n v="113.1"/>
    <n v="6.5250000000000004"/>
    <n v="91.95"/>
    <n v="19.5"/>
    <n v="7.39"/>
    <n v="153.1"/>
    <s v="N.D."/>
  </r>
  <r>
    <x v="5"/>
    <s v="2024-03-0222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4-03-05T00:00:00"/>
    <s v="mar"/>
    <x v="1"/>
    <m/>
    <n v="1.1000000000000001"/>
    <n v="0.44"/>
    <n v="0.22"/>
    <n v="6"/>
    <n v="39.1"/>
    <n v="4.33"/>
    <n v="62.55"/>
    <n v="21.1"/>
    <n v="7.3449999999999998"/>
    <n v="231.5"/>
    <n v="811.9"/>
  </r>
  <r>
    <x v="5"/>
    <s v="2024-06-0898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4-06-25T00:00:00"/>
    <s v="jun"/>
    <x v="0"/>
    <m/>
    <n v="0.57999999999999996"/>
    <n v="0.2"/>
    <n v="0.08"/>
    <n v="2.7"/>
    <n v="26.8"/>
    <n v="5.2750000000000004"/>
    <n v="73.55"/>
    <n v="19.3"/>
    <n v="7.54"/>
    <n v="93.65"/>
    <s v="N.D."/>
  </r>
  <r>
    <x v="2"/>
    <s v="2019-11-2775"/>
    <x v="11"/>
    <s v="ESTACION RIO ABAJO"/>
    <s v="LOT-143-MAR-900-RIO_NEGRO"/>
    <s v="Marinilla"/>
    <s v="R. 112-5304-2016 - Río Negro - Tramo: 6 - Río Negro"/>
    <x v="0"/>
    <s v="06°15'40,60&quot;"/>
    <s v="75°17'43,46&quot;"/>
    <d v="2019-11-25T00:00:00"/>
    <s v="nov"/>
    <x v="0"/>
    <n v="170"/>
    <n v="0.4"/>
    <n v="0.1"/>
    <n v="0.1"/>
    <n v="3.6"/>
    <n v="10"/>
    <n v="7.08"/>
    <n v="97.5"/>
    <n v="18.899999999999999"/>
    <n v="7.26"/>
    <n v="77.900000000000006"/>
    <n v="1487.24"/>
  </r>
  <r>
    <x v="0"/>
    <s v="2020-02-0240"/>
    <x v="11"/>
    <s v="ESTACION RIO ABAJO"/>
    <s v="LOT-143-MAR-900-RIO_NEGRO"/>
    <s v="Marinilla"/>
    <s v="R. 112-5304-2016 - Río Negro - Tramo: 6 - Río Negro"/>
    <x v="0"/>
    <s v="06°15'40,60&quot;"/>
    <s v="75°17'43,46&quot;"/>
    <d v="2020-02-24T00:00:00"/>
    <s v="feb"/>
    <x v="1"/>
    <n v="193"/>
    <n v="1.1000000000000001"/>
    <n v="0.6"/>
    <n v="0.3"/>
    <n v="4.5999999999999996"/>
    <n v="30.2"/>
    <n v="6.46"/>
    <n v="88.3"/>
    <n v="20.9"/>
    <n v="7.36"/>
    <n v="134.80000000000001"/>
    <n v="3399.92"/>
  </r>
  <r>
    <x v="1"/>
    <s v="2021-02-220"/>
    <x v="11"/>
    <s v="ESTACION RIO ABAJO"/>
    <s v="LOT-143-MAR-900-RIO_NEGRO"/>
    <s v="Marinilla"/>
    <s v="R. 112-5304-2016 - Río Negro - Tramo: 6 - Río Negro"/>
    <x v="0"/>
    <s v="06°15'40,60&quot;"/>
    <s v="75°17'43,46&quot;"/>
    <d v="2021-02-02T00:00:00"/>
    <s v="feb"/>
    <x v="1"/>
    <n v="260"/>
    <n v="0.98"/>
    <n v="0.57999999999999996"/>
    <n v="0.26"/>
    <n v="6.4"/>
    <n v="15.9"/>
    <n v="6.87"/>
    <n v="91.5"/>
    <n v="17.100000000000001"/>
    <n v="6.65"/>
    <n v="45.8"/>
    <s v="N.D."/>
  </r>
  <r>
    <x v="1"/>
    <s v="2021-12-2343"/>
    <x v="11"/>
    <s v="ESTACION RIO ABAJO"/>
    <s v="LOT-143-MAR-900-RIO_NEGRO"/>
    <s v="Marinilla"/>
    <s v="R. 112-5304-2016 - Río Negro - Tramo: 6 - Río Negro"/>
    <x v="0"/>
    <s v="06°15'40,60&quot;"/>
    <s v="75°17'43,46&quot;"/>
    <d v="2021-12-06T00:00:00"/>
    <s v="dic"/>
    <x v="1"/>
    <n v="283"/>
    <n v="0.7"/>
    <n v="0.4"/>
    <n v="0.2"/>
    <n v="4.5"/>
    <n v="14.3"/>
    <n v="6.1"/>
    <n v="66.2"/>
    <n v="19.600000000000001"/>
    <n v="6.82"/>
    <n v="45.8"/>
    <s v="N.D."/>
  </r>
  <r>
    <x v="3"/>
    <s v="2022-02-0229"/>
    <x v="11"/>
    <s v="ESTACION RIO ABAJO"/>
    <s v="LOT-143-MAR-900-RIO_NEGRO"/>
    <s v="Marinilla"/>
    <s v="R. 112-5304-2016 - Río Negro - Tramo: 6 - Río Negro"/>
    <x v="0"/>
    <s v="06°15'40,60&quot;"/>
    <s v="75°17'43,46&quot;"/>
    <d v="2022-02-23T00:00:00"/>
    <s v="feb"/>
    <x v="1"/>
    <n v="140"/>
    <n v="0.9"/>
    <n v="0.4"/>
    <n v="0.2"/>
    <n v="10.6"/>
    <n v="49.9"/>
    <n v="6.3049999999999997"/>
    <n v="85.55"/>
    <n v="18.2"/>
    <n v="6.87"/>
    <n v="95.15"/>
    <n v="1532"/>
  </r>
  <r>
    <x v="3"/>
    <s v="2022-06-0922"/>
    <x v="11"/>
    <s v="ESTACION RIO ABAJO"/>
    <s v="LOT-143-MAR-900-RIO_NEGRO"/>
    <s v="Marinilla"/>
    <s v="R. 112-5304-2016 - Río Negro - Tramo: 6 - Río Negro"/>
    <x v="0"/>
    <s v="06°15'40,60&quot;"/>
    <s v="75°17'43,46&quot;"/>
    <d v="2022-06-08T00:00:00"/>
    <s v="jun"/>
    <x v="0"/>
    <n v="150"/>
    <n v="0.8"/>
    <n v="0.3"/>
    <n v="0.3"/>
    <n v="8.3000000000000007"/>
    <n v="22.8"/>
    <n v="6.38"/>
    <n v="84.45"/>
    <n v="17.100000000000001"/>
    <n v="6.85"/>
    <n v="81.25"/>
    <n v="8599.4"/>
  </r>
  <r>
    <x v="3"/>
    <s v="2022-11-2203"/>
    <x v="11"/>
    <s v="ESTACION RIO ABAJO"/>
    <s v="LOT-143-MAR-900-RIO_NEGRO"/>
    <s v="Marinilla"/>
    <s v="R. 112-5304-2016 - Río Negro - Tramo: 6 - Río Negro"/>
    <x v="0"/>
    <s v="06°15'40,60&quot;"/>
    <s v="75°17'43,46&quot;"/>
    <d v="2022-11-23T00:00:00"/>
    <s v="nov"/>
    <x v="0"/>
    <n v="160"/>
    <n v="0.84"/>
    <n v="0.38"/>
    <n v="0.22"/>
    <n v="11.9"/>
    <n v="40.299999999999997"/>
    <n v="6.2329999999999997"/>
    <n v="84.5"/>
    <n v="17.899999999999999"/>
    <n v="6.7850000000000001"/>
    <n v="71.599999999999994"/>
    <s v="N.D."/>
  </r>
  <r>
    <x v="4"/>
    <s v="2023-03-0254"/>
    <x v="11"/>
    <s v="ESTACION RIO ABAJO"/>
    <s v="LOT-143-MAR-900-RIO_NEGRO"/>
    <s v="Marinilla"/>
    <s v="R. 112-5304-2016 - Río Negro - Tramo: 6 - Río Negro"/>
    <x v="0"/>
    <s v="06°15'40,60&quot;"/>
    <s v="75°17'43,46&quot;"/>
    <d v="2023-03-01T00:00:00"/>
    <s v="mar"/>
    <x v="1"/>
    <n v="110"/>
    <n v="1"/>
    <n v="0.5"/>
    <n v="0.32"/>
    <s v="&gt;45,4"/>
    <n v="43.1"/>
    <n v="5.78"/>
    <n v="81.25"/>
    <n v="19.8"/>
    <n v="6.835"/>
    <n v="61.9"/>
    <s v="N.D."/>
  </r>
  <r>
    <x v="5"/>
    <s v="2024-11-1994"/>
    <x v="1"/>
    <s v="ESTACION EL CHAGUALO"/>
    <s v="LOT-138-MAR-500-LA_MARINILLA"/>
    <s v="Marinilla"/>
    <s v="R. 112-5304-2016 - Río Negro - Tramo: 14 - Quebrada La Marinilla"/>
    <x v="1"/>
    <s v="06°09'11,79&quot;"/>
    <s v="75°18'36,47&quot;"/>
    <d v="2024-11-26T00:00:00"/>
    <s v="nov"/>
    <x v="0"/>
    <m/>
    <n v="1.76"/>
    <n v="1.3"/>
    <n v="1.22"/>
    <n v="3.4"/>
    <n v="14.8"/>
    <n v="5.7799999999999994"/>
    <n v="82.449999999999989"/>
    <n v="19.8"/>
    <n v="7.03"/>
    <n v="108.19999999999999"/>
    <s v="N.D."/>
  </r>
  <r>
    <x v="5"/>
    <s v="2024-02-0191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4-02-27T00:00:00"/>
    <s v="feb"/>
    <x v="1"/>
    <m/>
    <n v="0.5"/>
    <n v="0.22"/>
    <n v="0.14000000000000001"/>
    <n v="3.4"/>
    <n v="15.9"/>
    <n v="6.2949999999999999"/>
    <n v="95.35"/>
    <n v="22.3"/>
    <n v="7.3949999999999996"/>
    <n v="115.9"/>
    <s v="N.D."/>
  </r>
  <r>
    <x v="5"/>
    <s v="2024-06-0845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4-06-18T00:00:00"/>
    <s v="jun"/>
    <x v="0"/>
    <m/>
    <n v="0.46"/>
    <n v="0.24"/>
    <n v="0.16"/>
    <n v="3.7"/>
    <n v="22.8"/>
    <n v="6.0950000000000006"/>
    <n v="89.2"/>
    <n v="21.3"/>
    <n v="7.2050000000000001"/>
    <n v="106.9"/>
    <s v="N.D."/>
  </r>
  <r>
    <x v="5"/>
    <s v="2024-11-1993"/>
    <x v="0"/>
    <s v="ESTACION LA AMISTAD"/>
    <s v="LOT-066-SAN-200-LA_MARINILLA"/>
    <s v="El Santuario"/>
    <s v="R. 112-5304-2016 - Río Negro - Tramo: 14 - Quebrada La Marinilla"/>
    <x v="1"/>
    <s v="06°08'11,79&quot;"/>
    <s v="75°16'09,54&quot;"/>
    <d v="2024-11-26T00:00:00"/>
    <s v="nov"/>
    <x v="0"/>
    <m/>
    <n v="1.1000000000000001"/>
    <n v="0.5"/>
    <n v="0.4"/>
    <n v="5.2"/>
    <n v="32"/>
    <n v="6.585"/>
    <n v="94.5"/>
    <n v="20.8"/>
    <n v="7.1"/>
    <n v="94.1"/>
    <s v="N.D."/>
  </r>
  <r>
    <x v="4"/>
    <s v="2023-05-0723"/>
    <x v="11"/>
    <s v="ESTACION RIO ABAJO"/>
    <s v="LOT-143-MAR-900-RIO_NEGRO"/>
    <s v="Marinilla"/>
    <s v="R. 112-5304-2016 - Río Negro - Tramo: 6 - Río Negro"/>
    <x v="0"/>
    <s v="06°15'40,60&quot;"/>
    <s v="75°17'43,46&quot;"/>
    <d v="2023-05-10T00:00:00"/>
    <s v="may"/>
    <x v="0"/>
    <n v="120"/>
    <n v="0.72"/>
    <n v="0.36"/>
    <n v="0.24"/>
    <n v="3.1"/>
    <n v="9.9"/>
    <n v="5.2949999999999999"/>
    <n v="80.95"/>
    <n v="22.9"/>
    <n v="7.05"/>
    <n v="153"/>
    <s v="N.D."/>
  </r>
  <r>
    <x v="4"/>
    <s v="2023-11-2321"/>
    <x v="11"/>
    <s v="ESTACION RIO ABAJO"/>
    <s v="LOT-143-MAR-900-RIO_NEGRO"/>
    <s v="Marinilla"/>
    <s v="R. 112-5304-2016 - Río Negro - Tramo: 6 - Río Negro"/>
    <x v="0"/>
    <s v="06°15'40,60&quot;"/>
    <s v="75°17'43,46&quot;"/>
    <d v="2023-11-21T00:00:00"/>
    <s v="nov"/>
    <x v="0"/>
    <n v="122"/>
    <n v="0.25"/>
    <n v="0.08"/>
    <n v="0.06"/>
    <n v="5.4"/>
    <n v="38.299999999999997"/>
    <n v="6.0250000000000004"/>
    <n v="80.8"/>
    <n v="17.399999999999999"/>
    <n v="6.8550000000000004"/>
    <n v="87.9"/>
    <s v="N.D."/>
  </r>
  <r>
    <x v="5"/>
    <s v="2024-06-0863"/>
    <x v="3"/>
    <s v="OMYA"/>
    <s v="LOT-088-GUA-400-LA_MOSCA"/>
    <s v="Guarne"/>
    <s v="R. 112-5304-2016 - Río Negro - Tramo: 13 - Quebrada La Mosca"/>
    <x v="2"/>
    <s v="06°13'34,97&quot;"/>
    <s v="75°24'07,65&quot;"/>
    <d v="2024-06-18T00:00:00"/>
    <s v="jun"/>
    <x v="0"/>
    <m/>
    <n v="0.5"/>
    <n v="0.2"/>
    <n v="0.12"/>
    <n v="3.7"/>
    <n v="21.5"/>
    <n v="5.2750000000000004"/>
    <n v="75.25"/>
    <n v="20.5"/>
    <n v="7.0449999999999999"/>
    <n v="105.45"/>
    <s v="N.D."/>
  </r>
  <r>
    <x v="5"/>
    <s v="2024-11-2006"/>
    <x v="3"/>
    <s v="OMYA"/>
    <s v="LOT-088-GUA-400-LA_MOSCA"/>
    <s v="Guarne"/>
    <s v="R. 112-5304-2016 - Río Negro - Tramo: 13 - Quebrada La Mosca"/>
    <x v="2"/>
    <s v="06°13'34,97&quot;"/>
    <s v="75°24'07,65&quot;"/>
    <d v="2024-11-26T00:00:00"/>
    <s v="nov"/>
    <x v="0"/>
    <m/>
    <n v="0.9"/>
    <n v="0.44"/>
    <n v="0.2"/>
    <n v="3.2"/>
    <n v="20.8"/>
    <n v="5.4399999999999995"/>
    <n v="77.25"/>
    <n v="19.5"/>
    <n v="7.1449999999999996"/>
    <n v="113.25"/>
    <s v="N.D."/>
  </r>
  <r>
    <x v="5"/>
    <s v="2024-02-0178"/>
    <x v="4"/>
    <s v="ESTACION RIOTEX"/>
    <s v="LOT-179-RIO-500-LA_MOSCA"/>
    <s v="Rionegro"/>
    <s v="R. 112-5304-2016 - Río Negro - Tramo: 13 - Quebrada La Mosca"/>
    <x v="2"/>
    <s v="06°10'51,60&quot;"/>
    <s v="75°22'00,15&quot;"/>
    <d v="2024-02-27T00:00:00"/>
    <s v="feb"/>
    <x v="1"/>
    <m/>
    <n v="2.98"/>
    <n v="2"/>
    <n v="1.46"/>
    <n v="44.3"/>
    <n v="86.3"/>
    <n v="1.67"/>
    <n v="24.8"/>
    <n v="22.2"/>
    <n v="6.9399999999999995"/>
    <n v="251.5"/>
    <s v="N.D."/>
  </r>
  <r>
    <x v="5"/>
    <s v="2024-06-0864"/>
    <x v="4"/>
    <s v="ESTACION RIOTEX"/>
    <s v="LOT-179-RIO-500-LA_MOSCA"/>
    <s v="Rionegro"/>
    <s v="R. 112-5304-2016 - Río Negro - Tramo: 13 - Quebrada La Mosca"/>
    <x v="2"/>
    <s v="06°10'51,60&quot;"/>
    <s v="75°22'00,15&quot;"/>
    <d v="2024-06-18T00:00:00"/>
    <s v="jun"/>
    <x v="0"/>
    <m/>
    <n v="1.38"/>
    <n v="0.92"/>
    <n v="0.68"/>
    <n v="55.5"/>
    <n v="117"/>
    <n v="4.55"/>
    <n v="64.150000000000006"/>
    <n v="20.3"/>
    <n v="6.99"/>
    <n v="123.1"/>
    <s v="N.D."/>
  </r>
  <r>
    <x v="5"/>
    <s v="2024-11-2007"/>
    <x v="4"/>
    <s v="ESTACION RIOTEX"/>
    <s v="LOT-179-RIO-500-LA_MOSCA"/>
    <s v="Rionegro"/>
    <s v="R. 112-5304-2016 - Río Negro - Tramo: 13 - Quebrada La Mosca"/>
    <x v="2"/>
    <s v="06°10'51,60&quot;"/>
    <s v="75°22'00,15&quot;"/>
    <d v="2024-11-26T00:00:00"/>
    <s v="nov"/>
    <x v="0"/>
    <m/>
    <n v="1.62"/>
    <n v="0.72"/>
    <n v="0.3"/>
    <n v="3.3"/>
    <n v="33.75"/>
    <n v="4.67"/>
    <n v="66.75"/>
    <n v="21.1"/>
    <n v="7"/>
    <n v="121.80000000000001"/>
    <s v="N.D."/>
  </r>
  <r>
    <x v="5"/>
    <s v="2024-12-2080"/>
    <x v="2"/>
    <s v="ESTACION COLTEPUNTO"/>
    <s v="LOT-136-MAR-400-LA_CIMARRONA"/>
    <s v="Marinilla"/>
    <s v="R. 112-5304-2016 - Río Negro - Tramo: 11 - Quebrada La Cimarrona"/>
    <x v="3"/>
    <s v="06°10'08,07&quot;"/>
    <s v="75°21'26,26&quot;"/>
    <d v="2024-12-03T00:00:00"/>
    <s v="dic"/>
    <x v="0"/>
    <m/>
    <n v="2.3199999999999998"/>
    <n v="1.84"/>
    <n v="1.7"/>
    <n v="1.6"/>
    <n v="14.5"/>
    <n v="4.1099999999999994"/>
    <n v="56.9"/>
    <n v="19.2"/>
    <n v="6.82"/>
    <n v="111.1"/>
    <s v="N.D."/>
  </r>
  <r>
    <x v="5"/>
    <s v="2024-03-0223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4-03-05T00:00:00"/>
    <s v="mar"/>
    <x v="1"/>
    <m/>
    <n v="1.96"/>
    <n v="1.1599999999999999"/>
    <n v="0.8"/>
    <n v="4.7"/>
    <n v="54.6"/>
    <n v="4.2"/>
    <n v="62.6"/>
    <n v="23"/>
    <n v="7.4"/>
    <n v="537.5"/>
    <s v="N.D."/>
  </r>
  <r>
    <x v="5"/>
    <s v="2024-06-0899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4-06-25T00:00:00"/>
    <s v="jun"/>
    <x v="0"/>
    <m/>
    <n v="0.62"/>
    <n v="0.24"/>
    <n v="0.12"/>
    <n v="1.4"/>
    <n v="32.74"/>
    <n v="5.26"/>
    <n v="74.449999999999989"/>
    <n v="19.600000000000001"/>
    <n v="7.48"/>
    <n v="129.75"/>
    <s v="N.D."/>
  </r>
  <r>
    <x v="5"/>
    <s v="2024-12-2081"/>
    <x v="3"/>
    <s v="ESTACION PUENTE VIA EL TRANVIA"/>
    <s v="LOT-137-MAR-500-LA_CIMARRONA"/>
    <s v="Marinilla"/>
    <s v="R. 112-5304-2016 - Río Negro - Tramo: 11 - Quebrada La Cimarrona"/>
    <x v="3"/>
    <s v="06°10'24,99&quot;"/>
    <s v="75°21'45,64&quot;"/>
    <d v="2024-12-03T00:00:00"/>
    <s v="dic"/>
    <x v="0"/>
    <m/>
    <n v="0.98"/>
    <n v="0.5"/>
    <n v="0.24"/>
    <n v="2.6"/>
    <n v="19.2"/>
    <n v="4.3100000000000005"/>
    <n v="60.75"/>
    <n v="20.100000000000001"/>
    <n v="7.0149999999999997"/>
    <n v="230.5"/>
    <s v="N.D.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E43851-455E-4F10-93AF-C6C305AA84BD}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A4:G16" firstHeaderRow="1" firstDataRow="2" firstDataCol="1" rowPageCount="2" colPageCount="1"/>
  <pivotFields count="25">
    <pivotField axis="axisCol" showAll="0">
      <items count="7">
        <item x="2"/>
        <item x="0"/>
        <item x="1"/>
        <item x="3"/>
        <item x="4"/>
        <item x="5"/>
        <item t="default"/>
      </items>
    </pivotField>
    <pivotField showAll="0"/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showAll="0"/>
    <pivotField showAll="0"/>
    <pivotField showAll="0"/>
    <pivotField axis="axisPage" multipleItemSelectionAllowed="1" showAll="0">
      <items count="6">
        <item h="1" x="3"/>
        <item h="1" x="1"/>
        <item h="1" x="2"/>
        <item x="0"/>
        <item m="1" x="4"/>
        <item t="default"/>
      </items>
    </pivotField>
    <pivotField showAll="0"/>
    <pivotField showAll="0"/>
    <pivotField numFmtId="14" showAll="0"/>
    <pivotField showAll="0"/>
    <pivotField axis="axisPage" showAll="0">
      <items count="3">
        <item x="0"/>
        <item x="1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1">
    <i>
      <x/>
    </i>
    <i>
      <x v="1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0"/>
  </colFields>
  <colItems count="6">
    <i>
      <x v="1"/>
    </i>
    <i>
      <x v="2"/>
    </i>
    <i>
      <x v="3"/>
    </i>
    <i>
      <x v="4"/>
    </i>
    <i>
      <x v="5"/>
    </i>
    <i t="grand">
      <x/>
    </i>
  </colItems>
  <pageFields count="2">
    <pageField fld="12" item="1" hier="-1"/>
    <pageField fld="7" hier="-1"/>
  </pageFields>
  <dataFields count="1">
    <dataField name="Promedio de Color real λ=436 nm (m⁻¹)" fld="14" subtotal="average" baseField="2" baseItem="0" numFmtId="2"/>
  </dataFields>
  <formats count="11">
    <format dxfId="13">
      <pivotArea outline="0" collapsedLevelsAreSubtotals="1" fieldPosition="0"/>
    </format>
    <format dxfId="12">
      <pivotArea dataOnly="0" labelOnly="1" grandCol="1" outline="0" fieldPosition="0"/>
    </format>
    <format dxfId="11">
      <pivotArea type="origin" dataOnly="0" labelOnly="1" outline="0" fieldPosition="0"/>
    </format>
    <format dxfId="10">
      <pivotArea type="origin" dataOnly="0" labelOnly="1" outline="0" fieldPosition="0"/>
    </format>
    <format dxfId="9">
      <pivotArea field="0" type="button" dataOnly="0" labelOnly="1" outline="0" axis="axisCol" fieldPosition="0"/>
    </format>
    <format dxfId="8">
      <pivotArea type="origin" dataOnly="0" labelOnly="1" outline="0" fieldPosition="0"/>
    </format>
    <format dxfId="7">
      <pivotArea field="0" type="button" dataOnly="0" labelOnly="1" outline="0" axis="axisCol" fieldPosition="0"/>
    </format>
    <format dxfId="6">
      <pivotArea outline="0" collapsedLevelsAreSubtotals="1" fieldPosition="0"/>
    </format>
    <format dxfId="5">
      <pivotArea dataOnly="0" labelOnly="1" fieldPosition="0">
        <references count="1">
          <reference field="0" count="0"/>
        </references>
      </pivotArea>
    </format>
    <format dxfId="4">
      <pivotArea dataOnly="0" labelOnly="1" grandCol="1" outline="0" fieldPosition="0"/>
    </format>
    <format dxfId="3">
      <pivotArea field="0" type="button" dataOnly="0" labelOnly="1" outline="0" axis="axisCol" fieldPosition="0"/>
    </format>
  </format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6EE0-7DD8-4627-B548-988CBD11CAC9}">
  <dimension ref="A1:B21"/>
  <sheetViews>
    <sheetView workbookViewId="0">
      <selection activeCell="B26" sqref="B26"/>
    </sheetView>
  </sheetViews>
  <sheetFormatPr baseColWidth="10" defaultColWidth="11.42578125" defaultRowHeight="16.5" x14ac:dyDescent="0.3"/>
  <cols>
    <col min="1" max="1" width="11.42578125" style="38"/>
    <col min="2" max="2" width="76.85546875" style="38" bestFit="1" customWidth="1"/>
    <col min="3" max="16384" width="11.42578125" style="38"/>
  </cols>
  <sheetData>
    <row r="1" spans="1:2" x14ac:dyDescent="0.3">
      <c r="A1" s="130" t="s">
        <v>0</v>
      </c>
      <c r="B1" s="130"/>
    </row>
    <row r="2" spans="1:2" x14ac:dyDescent="0.3">
      <c r="A2" s="122">
        <v>1</v>
      </c>
      <c r="B2" s="38" t="s">
        <v>1</v>
      </c>
    </row>
    <row r="3" spans="1:2" x14ac:dyDescent="0.3">
      <c r="A3" s="122">
        <v>2</v>
      </c>
      <c r="B3" s="38" t="s">
        <v>2</v>
      </c>
    </row>
    <row r="4" spans="1:2" x14ac:dyDescent="0.3">
      <c r="A4" s="122">
        <v>3</v>
      </c>
      <c r="B4" s="38" t="s">
        <v>3</v>
      </c>
    </row>
    <row r="5" spans="1:2" x14ac:dyDescent="0.3">
      <c r="A5" s="122">
        <v>4</v>
      </c>
      <c r="B5" s="38" t="s">
        <v>4</v>
      </c>
    </row>
    <row r="6" spans="1:2" x14ac:dyDescent="0.3">
      <c r="A6" s="122">
        <v>5</v>
      </c>
      <c r="B6" s="38" t="s">
        <v>5</v>
      </c>
    </row>
    <row r="7" spans="1:2" x14ac:dyDescent="0.3">
      <c r="A7" s="122">
        <v>6</v>
      </c>
      <c r="B7" s="38" t="s">
        <v>6</v>
      </c>
    </row>
    <row r="8" spans="1:2" x14ac:dyDescent="0.3">
      <c r="A8" s="122">
        <v>7</v>
      </c>
      <c r="B8" s="38" t="s">
        <v>7</v>
      </c>
    </row>
    <row r="9" spans="1:2" x14ac:dyDescent="0.3">
      <c r="A9" s="122">
        <v>8</v>
      </c>
      <c r="B9" s="38" t="s">
        <v>8</v>
      </c>
    </row>
    <row r="10" spans="1:2" x14ac:dyDescent="0.3">
      <c r="A10" s="122">
        <v>9</v>
      </c>
      <c r="B10" s="38" t="s">
        <v>9</v>
      </c>
    </row>
    <row r="11" spans="1:2" x14ac:dyDescent="0.3">
      <c r="A11" s="122">
        <v>10</v>
      </c>
      <c r="B11" s="38" t="s">
        <v>10</v>
      </c>
    </row>
    <row r="12" spans="1:2" x14ac:dyDescent="0.3">
      <c r="A12" s="122">
        <v>11</v>
      </c>
      <c r="B12" s="38" t="s">
        <v>11</v>
      </c>
    </row>
    <row r="13" spans="1:2" x14ac:dyDescent="0.3">
      <c r="A13" s="122">
        <v>12</v>
      </c>
      <c r="B13" s="38" t="s">
        <v>12</v>
      </c>
    </row>
    <row r="14" spans="1:2" x14ac:dyDescent="0.3">
      <c r="A14" s="122">
        <v>13</v>
      </c>
      <c r="B14" s="38" t="s">
        <v>13</v>
      </c>
    </row>
    <row r="15" spans="1:2" x14ac:dyDescent="0.3">
      <c r="A15" s="122">
        <v>14</v>
      </c>
      <c r="B15" s="38" t="s">
        <v>14</v>
      </c>
    </row>
    <row r="16" spans="1:2" x14ac:dyDescent="0.3">
      <c r="A16" s="122">
        <v>15</v>
      </c>
      <c r="B16" s="38" t="s">
        <v>15</v>
      </c>
    </row>
    <row r="17" spans="1:2" x14ac:dyDescent="0.3">
      <c r="A17" s="122">
        <v>16</v>
      </c>
      <c r="B17" s="38" t="s">
        <v>16</v>
      </c>
    </row>
    <row r="18" spans="1:2" x14ac:dyDescent="0.3">
      <c r="A18" s="122">
        <v>17</v>
      </c>
      <c r="B18" s="38" t="s">
        <v>17</v>
      </c>
    </row>
    <row r="19" spans="1:2" x14ac:dyDescent="0.3">
      <c r="A19" s="122">
        <v>18</v>
      </c>
      <c r="B19" s="38" t="s">
        <v>18</v>
      </c>
    </row>
    <row r="20" spans="1:2" x14ac:dyDescent="0.3">
      <c r="A20" s="122">
        <v>19</v>
      </c>
      <c r="B20" s="38" t="s">
        <v>19</v>
      </c>
    </row>
    <row r="21" spans="1:2" x14ac:dyDescent="0.3">
      <c r="A21" s="122">
        <v>20</v>
      </c>
      <c r="B21" s="38" t="s">
        <v>20</v>
      </c>
    </row>
  </sheetData>
  <mergeCells count="1">
    <mergeCell ref="A1:B1"/>
  </mergeCells>
  <hyperlinks>
    <hyperlink ref="A2" location="'Resultados historicos'!A1" display="'Resultados historicos'!A1" xr:uid="{72067ADB-516B-4217-B013-A7A3AB79A25C}"/>
    <hyperlink ref="A3" location="'TD historicos'!A1" display="'TD historicos'!A1" xr:uid="{31EF62DD-CF3E-493F-A543-96A46B1A24C1}"/>
    <hyperlink ref="A4" location="'RN436'!A1" display="'RN436'!A1" xr:uid="{7CDCE4CB-70C1-4525-BF93-9BB50E177E60}"/>
    <hyperlink ref="A5" location="'RN525'!A1" display="'RN525'!A1" xr:uid="{BAE273A4-53A7-476E-BC2D-7D5F0BDC2ECE}"/>
    <hyperlink ref="A6" location="'RN620'!A1" display="'RN620'!A1" xr:uid="{E6FD8B04-A56B-42B0-8172-35717F7BD06F}"/>
    <hyperlink ref="A7" location="'CM436'!A1" display="'CM436'!A1" xr:uid="{74067E99-9FBA-4F67-A77F-F3897F6B3692}"/>
    <hyperlink ref="A8" location="'CM525'!A1" display="'CM525'!A1" xr:uid="{F473E9D1-AE0A-4F72-9290-2F3D7EBB81AB}"/>
    <hyperlink ref="A9" location="'RN620'!A1" display="'RN620'!A1" xr:uid="{1052223A-FBCA-429E-8B8E-8658A3CAA60D}"/>
    <hyperlink ref="A10" location="'MN436'!A1" display="'MN436'!A1" xr:uid="{A967D781-64E1-4740-B84B-A58CC97F2175}"/>
    <hyperlink ref="A11" location="'CM525'!A1" display="'CM525'!A1" xr:uid="{C69044B4-3B40-423A-9E97-45598495CB12}"/>
    <hyperlink ref="A12" location="'MN620'!A1" display="'MN620'!A1" xr:uid="{D6B57495-7715-44F3-AE9F-B26E0AEC05A4}"/>
    <hyperlink ref="A13" location="'MO436'!A1" display="'MO436'!A1" xr:uid="{20B29CDC-5D0C-47DE-89CC-523087BD2E0A}"/>
    <hyperlink ref="A14" location="'MO525'!A1" display="'MO525'!A1" xr:uid="{02205D4F-8150-4B9D-A039-DC932D5390EC}"/>
    <hyperlink ref="A15" location="'MO620'!A1" display="'MO620'!A1" xr:uid="{E6B9AF24-AF2E-41C8-BF64-1924AAA10C88}"/>
    <hyperlink ref="A16" location="'Estadistico resumen'!A1" display="'Estadistico resumen'!A1" xr:uid="{89E65011-5219-4412-B483-AB583ABECF7D}"/>
    <hyperlink ref="A17" location="'Mezclas RN'!A1" display="'Mezclas RN'!A1" xr:uid="{8EB9A853-FB70-46B0-8E0F-08E94DE5306A}"/>
    <hyperlink ref="A18" location="'Mezclas CM'!A1" display="'Mezclas CM'!A1" xr:uid="{A9F48498-8B06-4507-97B5-BB516B7B11A9}"/>
    <hyperlink ref="A19" location="'Mezclas MN'!A1" display="'Mezclas MN'!A1" xr:uid="{C622EAF5-BAC9-4AE3-939A-7FC21011A0BF}"/>
    <hyperlink ref="A20" location="'Mezclas MO'!A1" display="'Mezclas MO'!A1" xr:uid="{404C085D-B700-4C1E-99E6-7A7A2B51E6CD}"/>
    <hyperlink ref="A21" location="'Evaluación Usuarios'!A1" display="'Evaluación Usuarios'!A1" xr:uid="{06C96177-298C-46DB-BB25-61B186958C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78CE-38A1-403C-85D3-805571EED353}">
  <dimension ref="A1:Y367"/>
  <sheetViews>
    <sheetView tabSelected="1" zoomScale="70" zoomScaleNormal="70" workbookViewId="0">
      <pane xSplit="4" ySplit="1" topLeftCell="K2" activePane="bottomRight" state="frozen"/>
      <selection pane="topRight" activeCell="E1" sqref="E1"/>
      <selection pane="bottomLeft" activeCell="A2" sqref="A2"/>
      <selection pane="bottomRight" activeCell="D13" sqref="D13"/>
    </sheetView>
  </sheetViews>
  <sheetFormatPr baseColWidth="10" defaultColWidth="11.42578125" defaultRowHeight="15" x14ac:dyDescent="0.25"/>
  <cols>
    <col min="1" max="1" width="11.140625" style="1" bestFit="1" customWidth="1"/>
    <col min="2" max="2" width="18.7109375" style="1" bestFit="1" customWidth="1"/>
    <col min="3" max="3" width="11.5703125" style="1" bestFit="1" customWidth="1"/>
    <col min="4" max="4" width="80" bestFit="1" customWidth="1"/>
    <col min="5" max="5" width="37.85546875" customWidth="1"/>
    <col min="6" max="6" width="20.7109375" bestFit="1" customWidth="1"/>
    <col min="7" max="7" width="66.140625" customWidth="1"/>
    <col min="8" max="10" width="26.5703125" customWidth="1"/>
    <col min="11" max="11" width="21.7109375" style="41" bestFit="1" customWidth="1"/>
    <col min="13" max="13" width="11.42578125" style="1"/>
    <col min="14" max="14" width="6.85546875" style="1" bestFit="1" customWidth="1"/>
    <col min="15" max="25" width="11.42578125" style="1"/>
  </cols>
  <sheetData>
    <row r="1" spans="1:25" ht="49.5" x14ac:dyDescent="0.25">
      <c r="A1" s="32" t="s">
        <v>21</v>
      </c>
      <c r="B1" s="32" t="s">
        <v>22</v>
      </c>
      <c r="C1" s="32" t="s">
        <v>23</v>
      </c>
      <c r="D1" s="39" t="s">
        <v>24</v>
      </c>
      <c r="E1" s="32" t="s">
        <v>25</v>
      </c>
      <c r="F1" s="32" t="s">
        <v>26</v>
      </c>
      <c r="G1" s="32" t="s">
        <v>27</v>
      </c>
      <c r="H1" s="32" t="s">
        <v>28</v>
      </c>
      <c r="I1" s="32" t="s">
        <v>29</v>
      </c>
      <c r="J1" s="32" t="s">
        <v>30</v>
      </c>
      <c r="K1" s="36" t="s">
        <v>31</v>
      </c>
      <c r="L1" s="32" t="s">
        <v>32</v>
      </c>
      <c r="M1" s="32" t="s">
        <v>33</v>
      </c>
      <c r="N1" s="32" t="s">
        <v>34</v>
      </c>
      <c r="O1" s="32" t="s">
        <v>35</v>
      </c>
      <c r="P1" s="32" t="s">
        <v>36</v>
      </c>
      <c r="Q1" s="32" t="s">
        <v>37</v>
      </c>
      <c r="R1" s="32" t="s">
        <v>38</v>
      </c>
      <c r="S1" s="32" t="s">
        <v>39</v>
      </c>
      <c r="T1" s="32" t="s">
        <v>40</v>
      </c>
      <c r="U1" s="32" t="s">
        <v>41</v>
      </c>
      <c r="V1" s="32" t="s">
        <v>42</v>
      </c>
      <c r="W1" s="32" t="s">
        <v>43</v>
      </c>
      <c r="X1" s="32" t="s">
        <v>44</v>
      </c>
      <c r="Y1" s="32" t="s">
        <v>45</v>
      </c>
    </row>
    <row r="2" spans="1:25" ht="16.5" x14ac:dyDescent="0.3">
      <c r="A2" s="35">
        <v>2020</v>
      </c>
      <c r="B2" s="35" t="s">
        <v>46</v>
      </c>
      <c r="C2" s="55">
        <v>1</v>
      </c>
      <c r="D2" s="33" t="s">
        <v>47</v>
      </c>
      <c r="E2" s="33" t="s">
        <v>48</v>
      </c>
      <c r="F2" s="33" t="s">
        <v>49</v>
      </c>
      <c r="G2" s="33" t="s">
        <v>50</v>
      </c>
      <c r="H2" s="33" t="s">
        <v>51</v>
      </c>
      <c r="I2" s="33" t="s">
        <v>52</v>
      </c>
      <c r="J2" s="33" t="s">
        <v>53</v>
      </c>
      <c r="K2" s="37">
        <v>44067</v>
      </c>
      <c r="L2" s="34" t="s">
        <v>54</v>
      </c>
      <c r="M2" s="34" t="s">
        <v>55</v>
      </c>
      <c r="N2" s="35">
        <v>207</v>
      </c>
      <c r="O2" s="35">
        <v>1.2</v>
      </c>
      <c r="P2" s="35">
        <v>0.4</v>
      </c>
      <c r="Q2" s="35">
        <v>0.1</v>
      </c>
      <c r="R2" s="35">
        <v>2.5</v>
      </c>
      <c r="S2" s="35">
        <v>29.1</v>
      </c>
      <c r="T2" s="35">
        <v>7.41</v>
      </c>
      <c r="U2" s="35">
        <v>93.9</v>
      </c>
      <c r="V2" s="35">
        <v>14.6</v>
      </c>
      <c r="W2" s="35">
        <v>6.69</v>
      </c>
      <c r="X2" s="35">
        <v>37.200000000000003</v>
      </c>
      <c r="Y2" s="35">
        <v>3200</v>
      </c>
    </row>
    <row r="3" spans="1:25" ht="16.5" x14ac:dyDescent="0.3">
      <c r="A3" s="35">
        <v>2020</v>
      </c>
      <c r="B3" s="35" t="s">
        <v>56</v>
      </c>
      <c r="C3" s="55">
        <v>1</v>
      </c>
      <c r="D3" s="33" t="s">
        <v>47</v>
      </c>
      <c r="E3" s="33" t="s">
        <v>48</v>
      </c>
      <c r="F3" s="33" t="s">
        <v>49</v>
      </c>
      <c r="G3" s="33" t="s">
        <v>50</v>
      </c>
      <c r="H3" s="33" t="s">
        <v>51</v>
      </c>
      <c r="I3" s="33" t="s">
        <v>52</v>
      </c>
      <c r="J3" s="33" t="s">
        <v>53</v>
      </c>
      <c r="K3" s="37">
        <v>44158</v>
      </c>
      <c r="L3" s="34" t="s">
        <v>57</v>
      </c>
      <c r="M3" s="34" t="s">
        <v>55</v>
      </c>
      <c r="N3" s="35">
        <v>228</v>
      </c>
      <c r="O3" s="35">
        <v>0.9</v>
      </c>
      <c r="P3" s="35">
        <v>0.4</v>
      </c>
      <c r="Q3" s="35">
        <v>0.3</v>
      </c>
      <c r="R3" s="35">
        <v>1.6</v>
      </c>
      <c r="S3" s="35">
        <v>10</v>
      </c>
      <c r="T3" s="35">
        <v>7.67</v>
      </c>
      <c r="U3" s="35">
        <v>99.1</v>
      </c>
      <c r="V3" s="35">
        <v>15.6</v>
      </c>
      <c r="W3" s="35">
        <v>6.63</v>
      </c>
      <c r="X3" s="35">
        <v>32.5</v>
      </c>
      <c r="Y3" s="35">
        <v>7350</v>
      </c>
    </row>
    <row r="4" spans="1:25" ht="16.5" x14ac:dyDescent="0.3">
      <c r="A4" s="35">
        <v>2021</v>
      </c>
      <c r="B4" s="35" t="s">
        <v>58</v>
      </c>
      <c r="C4" s="55">
        <v>1</v>
      </c>
      <c r="D4" s="33" t="s">
        <v>47</v>
      </c>
      <c r="E4" s="33" t="s">
        <v>48</v>
      </c>
      <c r="F4" s="33" t="s">
        <v>49</v>
      </c>
      <c r="G4" s="33" t="s">
        <v>50</v>
      </c>
      <c r="H4" s="33" t="s">
        <v>51</v>
      </c>
      <c r="I4" s="33" t="s">
        <v>52</v>
      </c>
      <c r="J4" s="33" t="s">
        <v>53</v>
      </c>
      <c r="K4" s="37">
        <v>44389</v>
      </c>
      <c r="L4" s="34" t="s">
        <v>59</v>
      </c>
      <c r="M4" s="34" t="s">
        <v>55</v>
      </c>
      <c r="N4" s="35">
        <v>297</v>
      </c>
      <c r="O4" s="35">
        <v>0.7</v>
      </c>
      <c r="P4" s="35">
        <v>0.3</v>
      </c>
      <c r="Q4" s="35">
        <v>0.2</v>
      </c>
      <c r="R4" s="35">
        <v>5.5</v>
      </c>
      <c r="S4" s="35">
        <v>10</v>
      </c>
      <c r="T4" s="35">
        <v>7.38</v>
      </c>
      <c r="U4" s="35">
        <v>95.6</v>
      </c>
      <c r="V4" s="35">
        <v>15</v>
      </c>
      <c r="W4" s="35">
        <v>6.66</v>
      </c>
      <c r="X4" s="35">
        <v>37.6</v>
      </c>
      <c r="Y4" s="35">
        <v>2832.56</v>
      </c>
    </row>
    <row r="5" spans="1:25" ht="16.5" x14ac:dyDescent="0.3">
      <c r="A5" s="35">
        <v>2021</v>
      </c>
      <c r="B5" s="35" t="s">
        <v>60</v>
      </c>
      <c r="C5" s="55">
        <v>1</v>
      </c>
      <c r="D5" s="33" t="s">
        <v>61</v>
      </c>
      <c r="E5" s="33" t="s">
        <v>62</v>
      </c>
      <c r="F5" s="33" t="s">
        <v>63</v>
      </c>
      <c r="G5" s="33" t="s">
        <v>64</v>
      </c>
      <c r="H5" s="33" t="s">
        <v>65</v>
      </c>
      <c r="I5" s="33" t="s">
        <v>66</v>
      </c>
      <c r="J5" s="33" t="s">
        <v>67</v>
      </c>
      <c r="K5" s="37">
        <v>44389</v>
      </c>
      <c r="L5" s="34" t="s">
        <v>59</v>
      </c>
      <c r="M5" s="34" t="s">
        <v>55</v>
      </c>
      <c r="N5" s="35">
        <v>311</v>
      </c>
      <c r="O5" s="35">
        <v>0.6</v>
      </c>
      <c r="P5" s="35">
        <v>0.2</v>
      </c>
      <c r="Q5" s="35">
        <v>0.1</v>
      </c>
      <c r="R5" s="35">
        <v>12</v>
      </c>
      <c r="S5" s="35">
        <v>17.7</v>
      </c>
      <c r="T5" s="35">
        <v>6.11</v>
      </c>
      <c r="U5" s="35">
        <v>88.5</v>
      </c>
      <c r="V5" s="35">
        <v>20.9</v>
      </c>
      <c r="W5" s="35">
        <v>6.99</v>
      </c>
      <c r="X5" s="35">
        <v>100.7</v>
      </c>
      <c r="Y5" s="35">
        <v>5524.21</v>
      </c>
    </row>
    <row r="6" spans="1:25" ht="16.5" x14ac:dyDescent="0.3">
      <c r="A6" s="35">
        <v>2019</v>
      </c>
      <c r="B6" s="35" t="s">
        <v>68</v>
      </c>
      <c r="C6" s="55">
        <v>1</v>
      </c>
      <c r="D6" s="33" t="s">
        <v>47</v>
      </c>
      <c r="E6" s="33" t="s">
        <v>48</v>
      </c>
      <c r="F6" s="33" t="s">
        <v>49</v>
      </c>
      <c r="G6" s="33" t="s">
        <v>50</v>
      </c>
      <c r="H6" s="33" t="s">
        <v>51</v>
      </c>
      <c r="I6" s="33" t="s">
        <v>52</v>
      </c>
      <c r="J6" s="33" t="s">
        <v>53</v>
      </c>
      <c r="K6" s="37">
        <v>43795</v>
      </c>
      <c r="L6" s="34" t="s">
        <v>57</v>
      </c>
      <c r="M6" s="34" t="s">
        <v>55</v>
      </c>
      <c r="N6" s="35">
        <v>161</v>
      </c>
      <c r="O6" s="35">
        <v>0.3</v>
      </c>
      <c r="P6" s="35">
        <v>0.1</v>
      </c>
      <c r="Q6" s="35">
        <v>0.1</v>
      </c>
      <c r="R6" s="35">
        <v>2.1</v>
      </c>
      <c r="S6" s="35">
        <v>10</v>
      </c>
      <c r="T6" s="35">
        <v>7.35</v>
      </c>
      <c r="U6" s="35">
        <v>96.2</v>
      </c>
      <c r="V6" s="35">
        <v>16.2</v>
      </c>
      <c r="W6" s="35">
        <v>7.72</v>
      </c>
      <c r="X6" s="35">
        <v>31.6</v>
      </c>
      <c r="Y6" s="35">
        <v>10163.290000000001</v>
      </c>
    </row>
    <row r="7" spans="1:25" ht="16.5" x14ac:dyDescent="0.3">
      <c r="A7" s="35">
        <v>2020</v>
      </c>
      <c r="B7" s="35" t="s">
        <v>69</v>
      </c>
      <c r="C7" s="55">
        <v>1</v>
      </c>
      <c r="D7" s="33" t="s">
        <v>47</v>
      </c>
      <c r="E7" s="33" t="s">
        <v>48</v>
      </c>
      <c r="F7" s="33" t="s">
        <v>49</v>
      </c>
      <c r="G7" s="33" t="s">
        <v>50</v>
      </c>
      <c r="H7" s="33" t="s">
        <v>51</v>
      </c>
      <c r="I7" s="33" t="s">
        <v>52</v>
      </c>
      <c r="J7" s="33" t="s">
        <v>53</v>
      </c>
      <c r="K7" s="37">
        <v>43886</v>
      </c>
      <c r="L7" s="34" t="s">
        <v>70</v>
      </c>
      <c r="M7" s="34" t="s">
        <v>71</v>
      </c>
      <c r="N7" s="35">
        <v>184</v>
      </c>
      <c r="O7" s="35">
        <v>0.8</v>
      </c>
      <c r="P7" s="35">
        <v>0.3</v>
      </c>
      <c r="Q7" s="35">
        <v>0.2</v>
      </c>
      <c r="R7" s="35">
        <v>6.9</v>
      </c>
      <c r="S7" s="35">
        <v>111.2</v>
      </c>
      <c r="T7" s="35">
        <v>7.33</v>
      </c>
      <c r="U7" s="35">
        <v>98.4</v>
      </c>
      <c r="V7" s="35">
        <v>17.2</v>
      </c>
      <c r="W7" s="35">
        <v>7.34</v>
      </c>
      <c r="X7" s="35">
        <v>45.9</v>
      </c>
      <c r="Y7" s="35">
        <v>1565.49</v>
      </c>
    </row>
    <row r="8" spans="1:25" ht="16.5" x14ac:dyDescent="0.3">
      <c r="A8" s="35">
        <v>2021</v>
      </c>
      <c r="B8" s="35" t="s">
        <v>72</v>
      </c>
      <c r="C8" s="55">
        <v>1</v>
      </c>
      <c r="D8" s="33" t="s">
        <v>47</v>
      </c>
      <c r="E8" s="33" t="s">
        <v>48</v>
      </c>
      <c r="F8" s="33" t="s">
        <v>49</v>
      </c>
      <c r="G8" s="33" t="s">
        <v>50</v>
      </c>
      <c r="H8" s="33" t="s">
        <v>51</v>
      </c>
      <c r="I8" s="33" t="s">
        <v>52</v>
      </c>
      <c r="J8" s="33" t="s">
        <v>53</v>
      </c>
      <c r="K8" s="37">
        <v>44228</v>
      </c>
      <c r="L8" s="34" t="s">
        <v>70</v>
      </c>
      <c r="M8" s="34" t="s">
        <v>71</v>
      </c>
      <c r="N8" s="35">
        <v>251</v>
      </c>
      <c r="O8" s="35">
        <v>0.6</v>
      </c>
      <c r="P8" s="35">
        <v>0.26</v>
      </c>
      <c r="Q8" s="35">
        <v>0.18</v>
      </c>
      <c r="R8" s="35">
        <v>1.9</v>
      </c>
      <c r="S8" s="35">
        <v>10</v>
      </c>
      <c r="T8" s="35">
        <v>7.4</v>
      </c>
      <c r="U8" s="35">
        <v>96.9</v>
      </c>
      <c r="V8" s="35">
        <v>15.9</v>
      </c>
      <c r="W8" s="35">
        <v>6.97</v>
      </c>
      <c r="X8" s="35">
        <v>59.5</v>
      </c>
      <c r="Y8" s="35">
        <v>2963.78</v>
      </c>
    </row>
    <row r="9" spans="1:25" ht="16.5" x14ac:dyDescent="0.3">
      <c r="A9" s="35">
        <v>2021</v>
      </c>
      <c r="B9" s="35" t="s">
        <v>73</v>
      </c>
      <c r="C9" s="55">
        <v>1</v>
      </c>
      <c r="D9" s="33" t="s">
        <v>47</v>
      </c>
      <c r="E9" s="33" t="s">
        <v>48</v>
      </c>
      <c r="F9" s="33" t="s">
        <v>49</v>
      </c>
      <c r="G9" s="33" t="s">
        <v>50</v>
      </c>
      <c r="H9" s="33" t="s">
        <v>51</v>
      </c>
      <c r="I9" s="33" t="s">
        <v>52</v>
      </c>
      <c r="J9" s="33" t="s">
        <v>53</v>
      </c>
      <c r="K9" s="37">
        <v>44529</v>
      </c>
      <c r="L9" s="34" t="s">
        <v>57</v>
      </c>
      <c r="M9" s="34" t="s">
        <v>55</v>
      </c>
      <c r="N9" s="35">
        <v>274</v>
      </c>
      <c r="O9" s="35">
        <v>0.7</v>
      </c>
      <c r="P9" s="35">
        <v>0.3</v>
      </c>
      <c r="Q9" s="35">
        <v>0.2</v>
      </c>
      <c r="R9" s="35">
        <v>0.2</v>
      </c>
      <c r="S9" s="35">
        <v>3.9</v>
      </c>
      <c r="T9" s="35">
        <v>7.32</v>
      </c>
      <c r="U9" s="35">
        <v>96.5</v>
      </c>
      <c r="V9" s="35">
        <v>16.100000000000001</v>
      </c>
      <c r="W9" s="35">
        <v>6.89</v>
      </c>
      <c r="X9" s="35">
        <v>26.6</v>
      </c>
      <c r="Y9" s="35">
        <v>1875.17</v>
      </c>
    </row>
    <row r="10" spans="1:25" ht="16.5" x14ac:dyDescent="0.3">
      <c r="A10" s="35">
        <v>2022</v>
      </c>
      <c r="B10" s="35" t="s">
        <v>74</v>
      </c>
      <c r="C10" s="55">
        <v>1</v>
      </c>
      <c r="D10" s="33" t="s">
        <v>47</v>
      </c>
      <c r="E10" s="33" t="s">
        <v>48</v>
      </c>
      <c r="F10" s="33" t="s">
        <v>49</v>
      </c>
      <c r="G10" s="33" t="s">
        <v>50</v>
      </c>
      <c r="H10" s="33" t="s">
        <v>51</v>
      </c>
      <c r="I10" s="33" t="s">
        <v>52</v>
      </c>
      <c r="J10" s="33" t="s">
        <v>53</v>
      </c>
      <c r="K10" s="37">
        <v>44614</v>
      </c>
      <c r="L10" s="34" t="s">
        <v>70</v>
      </c>
      <c r="M10" s="34" t="s">
        <v>71</v>
      </c>
      <c r="N10" s="35">
        <v>131</v>
      </c>
      <c r="O10" s="35">
        <v>1.3</v>
      </c>
      <c r="P10" s="35">
        <v>0.4</v>
      </c>
      <c r="Q10" s="35">
        <v>0.2</v>
      </c>
      <c r="R10" s="35">
        <v>2</v>
      </c>
      <c r="S10" s="35">
        <v>10.6</v>
      </c>
      <c r="T10" s="35">
        <v>7.8550000000000004</v>
      </c>
      <c r="U10" s="35">
        <v>98.7</v>
      </c>
      <c r="V10" s="35">
        <v>14</v>
      </c>
      <c r="W10" s="35">
        <v>6.84</v>
      </c>
      <c r="X10" s="35">
        <v>28.7</v>
      </c>
      <c r="Y10" s="35">
        <v>3017.3</v>
      </c>
    </row>
    <row r="11" spans="1:25" ht="16.5" x14ac:dyDescent="0.3">
      <c r="A11" s="35">
        <v>2022</v>
      </c>
      <c r="B11" s="35" t="s">
        <v>75</v>
      </c>
      <c r="C11" s="55">
        <v>1</v>
      </c>
      <c r="D11" s="33" t="s">
        <v>47</v>
      </c>
      <c r="E11" s="33" t="s">
        <v>48</v>
      </c>
      <c r="F11" s="33" t="s">
        <v>49</v>
      </c>
      <c r="G11" s="33" t="s">
        <v>50</v>
      </c>
      <c r="H11" s="33" t="s">
        <v>51</v>
      </c>
      <c r="I11" s="33" t="s">
        <v>52</v>
      </c>
      <c r="J11" s="33" t="s">
        <v>53</v>
      </c>
      <c r="K11" s="37">
        <v>44720</v>
      </c>
      <c r="L11" s="34" t="s">
        <v>76</v>
      </c>
      <c r="M11" s="34" t="s">
        <v>55</v>
      </c>
      <c r="N11" s="35">
        <v>141</v>
      </c>
      <c r="O11" s="35">
        <v>0.8</v>
      </c>
      <c r="P11" s="35">
        <v>0.3</v>
      </c>
      <c r="Q11" s="35">
        <v>0.2</v>
      </c>
      <c r="R11" s="35">
        <v>4.9000000000000004</v>
      </c>
      <c r="S11" s="35">
        <v>15.4</v>
      </c>
      <c r="T11" s="35">
        <v>7.5350000000000001</v>
      </c>
      <c r="U11" s="35">
        <v>98.3</v>
      </c>
      <c r="V11" s="35">
        <v>15.6</v>
      </c>
      <c r="W11" s="35">
        <v>7.2050000000000001</v>
      </c>
      <c r="X11" s="35">
        <v>57.55</v>
      </c>
      <c r="Y11" s="35">
        <v>6912</v>
      </c>
    </row>
    <row r="12" spans="1:25" ht="16.5" x14ac:dyDescent="0.3">
      <c r="A12" s="35">
        <v>2019</v>
      </c>
      <c r="B12" s="35" t="s">
        <v>77</v>
      </c>
      <c r="C12" s="55">
        <v>1</v>
      </c>
      <c r="D12" s="33" t="s">
        <v>61</v>
      </c>
      <c r="E12" s="33" t="s">
        <v>62</v>
      </c>
      <c r="F12" s="33" t="s">
        <v>63</v>
      </c>
      <c r="G12" s="33" t="s">
        <v>64</v>
      </c>
      <c r="H12" s="33" t="s">
        <v>65</v>
      </c>
      <c r="I12" s="33" t="s">
        <v>66</v>
      </c>
      <c r="J12" s="33" t="s">
        <v>67</v>
      </c>
      <c r="K12" s="37">
        <v>43794</v>
      </c>
      <c r="L12" s="34" t="s">
        <v>57</v>
      </c>
      <c r="M12" s="34" t="s">
        <v>55</v>
      </c>
      <c r="N12" s="35">
        <v>175</v>
      </c>
      <c r="O12" s="35">
        <v>0.6</v>
      </c>
      <c r="P12" s="35">
        <v>0.3</v>
      </c>
      <c r="Q12" s="35">
        <v>0.1</v>
      </c>
      <c r="R12" s="35">
        <v>3.1</v>
      </c>
      <c r="S12" s="35">
        <v>25.5</v>
      </c>
      <c r="T12" s="35">
        <v>5.92</v>
      </c>
      <c r="U12" s="35">
        <v>85.5</v>
      </c>
      <c r="V12" s="35">
        <v>20.6</v>
      </c>
      <c r="W12" s="35">
        <v>7.27</v>
      </c>
      <c r="X12" s="35">
        <v>78.599999999999994</v>
      </c>
      <c r="Y12" s="35">
        <v>1849.32</v>
      </c>
    </row>
    <row r="13" spans="1:25" ht="16.5" x14ac:dyDescent="0.3">
      <c r="A13" s="35">
        <v>2020</v>
      </c>
      <c r="B13" s="35" t="s">
        <v>78</v>
      </c>
      <c r="C13" s="55">
        <v>1</v>
      </c>
      <c r="D13" s="33" t="s">
        <v>61</v>
      </c>
      <c r="E13" s="33" t="s">
        <v>62</v>
      </c>
      <c r="F13" s="33" t="s">
        <v>63</v>
      </c>
      <c r="G13" s="33" t="s">
        <v>64</v>
      </c>
      <c r="H13" s="33" t="s">
        <v>65</v>
      </c>
      <c r="I13" s="33" t="s">
        <v>66</v>
      </c>
      <c r="J13" s="33" t="s">
        <v>67</v>
      </c>
      <c r="K13" s="37">
        <v>43885</v>
      </c>
      <c r="L13" s="34" t="s">
        <v>70</v>
      </c>
      <c r="M13" s="34" t="s">
        <v>71</v>
      </c>
      <c r="N13" s="35">
        <v>198</v>
      </c>
      <c r="O13" s="35">
        <v>0.4</v>
      </c>
      <c r="P13" s="35">
        <v>0.2</v>
      </c>
      <c r="Q13" s="35">
        <v>0.1</v>
      </c>
      <c r="R13" s="35">
        <v>3.5</v>
      </c>
      <c r="S13" s="35">
        <v>31.5</v>
      </c>
      <c r="T13" s="35">
        <v>6.2</v>
      </c>
      <c r="U13" s="35">
        <v>88.7</v>
      </c>
      <c r="V13" s="35">
        <v>20</v>
      </c>
      <c r="W13" s="35">
        <v>7.34</v>
      </c>
      <c r="X13" s="35">
        <v>100.2</v>
      </c>
      <c r="Y13" s="35">
        <v>878.08</v>
      </c>
    </row>
    <row r="14" spans="1:25" ht="16.5" x14ac:dyDescent="0.3">
      <c r="A14" s="35">
        <v>2020</v>
      </c>
      <c r="B14" s="35" t="s">
        <v>79</v>
      </c>
      <c r="C14" s="55">
        <v>1</v>
      </c>
      <c r="D14" s="33" t="s">
        <v>61</v>
      </c>
      <c r="E14" s="33" t="s">
        <v>62</v>
      </c>
      <c r="F14" s="33" t="s">
        <v>63</v>
      </c>
      <c r="G14" s="33" t="s">
        <v>64</v>
      </c>
      <c r="H14" s="33" t="s">
        <v>65</v>
      </c>
      <c r="I14" s="33" t="s">
        <v>66</v>
      </c>
      <c r="J14" s="33" t="s">
        <v>67</v>
      </c>
      <c r="K14" s="37">
        <v>44068</v>
      </c>
      <c r="L14" s="34" t="s">
        <v>54</v>
      </c>
      <c r="M14" s="34" t="s">
        <v>55</v>
      </c>
      <c r="N14" s="35">
        <v>219</v>
      </c>
      <c r="O14" s="35">
        <v>0.6</v>
      </c>
      <c r="P14" s="35">
        <v>0.1</v>
      </c>
      <c r="Q14" s="35">
        <v>0.1</v>
      </c>
      <c r="R14" s="35">
        <v>5.7</v>
      </c>
      <c r="S14" s="35">
        <v>26.6</v>
      </c>
      <c r="T14" s="35">
        <v>6.49</v>
      </c>
      <c r="U14" s="35">
        <v>90</v>
      </c>
      <c r="V14" s="35">
        <v>19</v>
      </c>
      <c r="W14" s="35">
        <v>7.1</v>
      </c>
      <c r="X14" s="35">
        <v>85.1</v>
      </c>
      <c r="Y14" s="35">
        <v>1740</v>
      </c>
    </row>
    <row r="15" spans="1:25" ht="16.5" x14ac:dyDescent="0.3">
      <c r="A15" s="35">
        <v>2020</v>
      </c>
      <c r="B15" s="35" t="s">
        <v>80</v>
      </c>
      <c r="C15" s="55">
        <v>1</v>
      </c>
      <c r="D15" s="33" t="s">
        <v>61</v>
      </c>
      <c r="E15" s="33" t="s">
        <v>62</v>
      </c>
      <c r="F15" s="33" t="s">
        <v>63</v>
      </c>
      <c r="G15" s="33" t="s">
        <v>64</v>
      </c>
      <c r="H15" s="33" t="s">
        <v>65</v>
      </c>
      <c r="I15" s="33" t="s">
        <v>66</v>
      </c>
      <c r="J15" s="33" t="s">
        <v>67</v>
      </c>
      <c r="K15" s="37">
        <v>44159</v>
      </c>
      <c r="L15" s="34" t="s">
        <v>57</v>
      </c>
      <c r="M15" s="34" t="s">
        <v>55</v>
      </c>
      <c r="N15" s="35">
        <v>242</v>
      </c>
      <c r="O15" s="35">
        <v>0.5</v>
      </c>
      <c r="P15" s="35">
        <v>0.2</v>
      </c>
      <c r="Q15" s="35">
        <v>0.1</v>
      </c>
      <c r="R15" s="35">
        <v>5</v>
      </c>
      <c r="S15" s="35">
        <v>21.2</v>
      </c>
      <c r="T15" s="35">
        <v>6.63</v>
      </c>
      <c r="U15" s="35">
        <v>93.5</v>
      </c>
      <c r="V15" s="35">
        <v>19.2</v>
      </c>
      <c r="W15" s="35">
        <v>7.15</v>
      </c>
      <c r="X15" s="35">
        <v>95.3</v>
      </c>
      <c r="Y15" s="35">
        <v>1460</v>
      </c>
    </row>
    <row r="16" spans="1:25" ht="16.5" x14ac:dyDescent="0.3">
      <c r="A16" s="35">
        <v>2021</v>
      </c>
      <c r="B16" s="35" t="s">
        <v>81</v>
      </c>
      <c r="C16" s="55">
        <v>1</v>
      </c>
      <c r="D16" s="33" t="s">
        <v>61</v>
      </c>
      <c r="E16" s="33" t="s">
        <v>62</v>
      </c>
      <c r="F16" s="33" t="s">
        <v>63</v>
      </c>
      <c r="G16" s="33" t="s">
        <v>64</v>
      </c>
      <c r="H16" s="33" t="s">
        <v>65</v>
      </c>
      <c r="I16" s="33" t="s">
        <v>66</v>
      </c>
      <c r="J16" s="33" t="s">
        <v>67</v>
      </c>
      <c r="K16" s="37">
        <v>44229</v>
      </c>
      <c r="L16" s="34" t="s">
        <v>70</v>
      </c>
      <c r="M16" s="34" t="s">
        <v>71</v>
      </c>
      <c r="N16" s="35">
        <v>265</v>
      </c>
      <c r="O16" s="35">
        <v>0.48</v>
      </c>
      <c r="P16" s="35">
        <v>0.18</v>
      </c>
      <c r="Q16" s="35">
        <v>0.08</v>
      </c>
      <c r="R16" s="35">
        <v>6.5</v>
      </c>
      <c r="S16" s="35">
        <v>15.7</v>
      </c>
      <c r="T16" s="35">
        <v>6.22</v>
      </c>
      <c r="U16" s="35">
        <v>89.6</v>
      </c>
      <c r="V16" s="35">
        <v>20.100000000000001</v>
      </c>
      <c r="W16" s="35">
        <v>7.18</v>
      </c>
      <c r="X16" s="35">
        <v>97.9</v>
      </c>
      <c r="Y16" s="35">
        <v>1089.42</v>
      </c>
    </row>
    <row r="17" spans="1:25" ht="16.5" x14ac:dyDescent="0.3">
      <c r="A17" s="35">
        <v>2022</v>
      </c>
      <c r="B17" s="35" t="s">
        <v>82</v>
      </c>
      <c r="C17" s="55">
        <v>1</v>
      </c>
      <c r="D17" s="33" t="s">
        <v>47</v>
      </c>
      <c r="E17" s="33" t="s">
        <v>48</v>
      </c>
      <c r="F17" s="33" t="s">
        <v>49</v>
      </c>
      <c r="G17" s="33" t="s">
        <v>50</v>
      </c>
      <c r="H17" s="33" t="s">
        <v>51</v>
      </c>
      <c r="I17" s="33" t="s">
        <v>52</v>
      </c>
      <c r="J17" s="33" t="s">
        <v>53</v>
      </c>
      <c r="K17" s="37">
        <v>44888</v>
      </c>
      <c r="L17" s="34" t="s">
        <v>57</v>
      </c>
      <c r="M17" s="34" t="s">
        <v>55</v>
      </c>
      <c r="N17" s="35">
        <v>151</v>
      </c>
      <c r="O17" s="35">
        <v>0.5</v>
      </c>
      <c r="P17" s="35">
        <v>0.18</v>
      </c>
      <c r="Q17" s="35">
        <v>0.06</v>
      </c>
      <c r="R17" s="35">
        <v>3.6</v>
      </c>
      <c r="S17" s="35">
        <v>23.9</v>
      </c>
      <c r="T17" s="35">
        <v>7.9</v>
      </c>
      <c r="U17" s="35">
        <v>102.1</v>
      </c>
      <c r="V17" s="35">
        <v>15.3</v>
      </c>
      <c r="W17" s="35">
        <v>6.9249999999999998</v>
      </c>
      <c r="X17" s="35">
        <v>29.65</v>
      </c>
      <c r="Y17" s="35">
        <v>5068.6000000000004</v>
      </c>
    </row>
    <row r="18" spans="1:25" ht="16.5" x14ac:dyDescent="0.3">
      <c r="A18" s="35">
        <v>2023</v>
      </c>
      <c r="B18" s="35" t="s">
        <v>83</v>
      </c>
      <c r="C18" s="55">
        <v>1</v>
      </c>
      <c r="D18" s="33" t="s">
        <v>47</v>
      </c>
      <c r="E18" s="33" t="s">
        <v>48</v>
      </c>
      <c r="F18" s="33" t="s">
        <v>49</v>
      </c>
      <c r="G18" s="33" t="s">
        <v>50</v>
      </c>
      <c r="H18" s="33" t="s">
        <v>51</v>
      </c>
      <c r="I18" s="33" t="s">
        <v>52</v>
      </c>
      <c r="J18" s="33" t="s">
        <v>53</v>
      </c>
      <c r="K18" s="37">
        <v>44985</v>
      </c>
      <c r="L18" s="34" t="s">
        <v>70</v>
      </c>
      <c r="M18" s="34" t="s">
        <v>71</v>
      </c>
      <c r="N18" s="35">
        <v>101</v>
      </c>
      <c r="O18" s="35">
        <v>0.42</v>
      </c>
      <c r="P18" s="35">
        <v>0.16</v>
      </c>
      <c r="Q18" s="35">
        <v>0.08</v>
      </c>
      <c r="R18" s="35">
        <v>6.7</v>
      </c>
      <c r="S18" s="35">
        <v>68.099999999999994</v>
      </c>
      <c r="T18" s="35">
        <v>7.3150000000000004</v>
      </c>
      <c r="U18" s="35">
        <v>95.15</v>
      </c>
      <c r="V18" s="35">
        <v>15.6</v>
      </c>
      <c r="W18" s="35">
        <v>6.36</v>
      </c>
      <c r="X18" s="35">
        <v>37.049999999999997</v>
      </c>
      <c r="Y18" s="35">
        <v>3455.5</v>
      </c>
    </row>
    <row r="19" spans="1:25" ht="16.5" x14ac:dyDescent="0.3">
      <c r="A19" s="35">
        <v>2023</v>
      </c>
      <c r="B19" s="35" t="s">
        <v>84</v>
      </c>
      <c r="C19" s="55">
        <v>1</v>
      </c>
      <c r="D19" s="33" t="s">
        <v>47</v>
      </c>
      <c r="E19" s="33" t="s">
        <v>48</v>
      </c>
      <c r="F19" s="33" t="s">
        <v>49</v>
      </c>
      <c r="G19" s="33" t="s">
        <v>50</v>
      </c>
      <c r="H19" s="33" t="s">
        <v>51</v>
      </c>
      <c r="I19" s="33" t="s">
        <v>52</v>
      </c>
      <c r="J19" s="33" t="s">
        <v>53</v>
      </c>
      <c r="K19" s="37">
        <v>45056</v>
      </c>
      <c r="L19" s="34" t="s">
        <v>85</v>
      </c>
      <c r="M19" s="34" t="s">
        <v>55</v>
      </c>
      <c r="N19" s="35">
        <v>111</v>
      </c>
      <c r="O19" s="35">
        <v>0.32</v>
      </c>
      <c r="P19" s="35">
        <v>0.1</v>
      </c>
      <c r="Q19" s="35">
        <v>0.04</v>
      </c>
      <c r="R19" s="35">
        <v>3.1</v>
      </c>
      <c r="S19" s="35">
        <v>5.7</v>
      </c>
      <c r="T19" s="35">
        <v>7.2249999999999996</v>
      </c>
      <c r="U19" s="35">
        <v>95.05</v>
      </c>
      <c r="V19" s="35">
        <v>16</v>
      </c>
      <c r="W19" s="35">
        <v>6.7850000000000001</v>
      </c>
      <c r="X19" s="35">
        <v>39.6</v>
      </c>
      <c r="Y19" s="35">
        <v>3357.9</v>
      </c>
    </row>
    <row r="20" spans="1:25" ht="16.5" x14ac:dyDescent="0.3">
      <c r="A20" s="35">
        <v>2023</v>
      </c>
      <c r="B20" s="35" t="s">
        <v>86</v>
      </c>
      <c r="C20" s="55">
        <v>1</v>
      </c>
      <c r="D20" s="33" t="s">
        <v>47</v>
      </c>
      <c r="E20" s="33" t="s">
        <v>48</v>
      </c>
      <c r="F20" s="33" t="s">
        <v>49</v>
      </c>
      <c r="G20" s="33" t="s">
        <v>50</v>
      </c>
      <c r="H20" s="33" t="s">
        <v>51</v>
      </c>
      <c r="I20" s="33" t="s">
        <v>52</v>
      </c>
      <c r="J20" s="33" t="s">
        <v>53</v>
      </c>
      <c r="K20" s="37">
        <v>45252</v>
      </c>
      <c r="L20" s="34" t="s">
        <v>57</v>
      </c>
      <c r="M20" s="34" t="s">
        <v>55</v>
      </c>
      <c r="N20" s="35">
        <v>123</v>
      </c>
      <c r="O20" s="35">
        <v>0.48</v>
      </c>
      <c r="P20" s="35">
        <v>0.18</v>
      </c>
      <c r="Q20" s="35">
        <v>0.08</v>
      </c>
      <c r="R20" s="35">
        <v>2.1</v>
      </c>
      <c r="S20" s="35">
        <v>11.1</v>
      </c>
      <c r="T20" s="35">
        <v>7.56</v>
      </c>
      <c r="U20" s="35">
        <v>98.65</v>
      </c>
      <c r="V20" s="35">
        <v>15.9</v>
      </c>
      <c r="W20" s="35">
        <v>6.1849999999999996</v>
      </c>
      <c r="X20" s="35">
        <v>33.5</v>
      </c>
      <c r="Y20" s="35">
        <v>4975.7</v>
      </c>
    </row>
    <row r="21" spans="1:25" ht="16.5" x14ac:dyDescent="0.3">
      <c r="A21" s="1">
        <v>2024</v>
      </c>
      <c r="B21" s="1" t="s">
        <v>87</v>
      </c>
      <c r="C21" s="1">
        <v>1</v>
      </c>
      <c r="D21" t="s">
        <v>47</v>
      </c>
      <c r="E21" t="s">
        <v>48</v>
      </c>
      <c r="F21" t="s">
        <v>49</v>
      </c>
      <c r="G21" t="s">
        <v>50</v>
      </c>
      <c r="H21" s="33" t="s">
        <v>51</v>
      </c>
      <c r="I21" t="s">
        <v>52</v>
      </c>
      <c r="J21" t="s">
        <v>53</v>
      </c>
      <c r="K21" s="41">
        <v>45349</v>
      </c>
      <c r="L21" s="34" t="s">
        <v>70</v>
      </c>
      <c r="M21" s="1" t="s">
        <v>71</v>
      </c>
      <c r="O21" s="1">
        <v>1.1000000000000001</v>
      </c>
      <c r="P21" s="1">
        <v>0.54</v>
      </c>
      <c r="Q21" s="1">
        <v>0.3</v>
      </c>
      <c r="R21" s="1">
        <v>2.2999999999999998</v>
      </c>
      <c r="S21" s="1">
        <v>9.3000000000000007</v>
      </c>
      <c r="T21" s="1">
        <v>7.5049999999999999</v>
      </c>
      <c r="U21" s="1">
        <v>98.25</v>
      </c>
      <c r="V21" s="1">
        <v>16.100000000000001</v>
      </c>
      <c r="W21" s="1">
        <v>7.125</v>
      </c>
      <c r="X21" s="1">
        <v>45.8</v>
      </c>
      <c r="Y21" s="1" t="s">
        <v>88</v>
      </c>
    </row>
    <row r="22" spans="1:25" ht="16.5" x14ac:dyDescent="0.3">
      <c r="A22" s="1">
        <v>2024</v>
      </c>
      <c r="B22" s="1" t="s">
        <v>89</v>
      </c>
      <c r="C22" s="1">
        <v>1</v>
      </c>
      <c r="D22" t="s">
        <v>47</v>
      </c>
      <c r="E22" t="s">
        <v>48</v>
      </c>
      <c r="F22" t="s">
        <v>49</v>
      </c>
      <c r="G22" t="s">
        <v>50</v>
      </c>
      <c r="H22" s="33" t="s">
        <v>51</v>
      </c>
      <c r="I22" t="s">
        <v>52</v>
      </c>
      <c r="J22" t="s">
        <v>53</v>
      </c>
      <c r="K22" s="41">
        <v>45461</v>
      </c>
      <c r="L22" s="34" t="s">
        <v>76</v>
      </c>
      <c r="M22" s="34" t="s">
        <v>55</v>
      </c>
      <c r="O22" s="1">
        <v>0.84</v>
      </c>
      <c r="P22" s="1">
        <v>0.34</v>
      </c>
      <c r="Q22" s="1">
        <v>0.18</v>
      </c>
      <c r="R22" s="1">
        <v>1.1000000000000001</v>
      </c>
      <c r="S22" s="1">
        <v>18.600000000000001</v>
      </c>
      <c r="T22" s="1">
        <v>7.6099999999999994</v>
      </c>
      <c r="U22" s="1">
        <v>98.85</v>
      </c>
      <c r="V22" s="1">
        <v>16</v>
      </c>
      <c r="W22" s="1">
        <v>7.1</v>
      </c>
      <c r="X22" s="1">
        <v>34.650000000000006</v>
      </c>
      <c r="Y22" s="1" t="s">
        <v>88</v>
      </c>
    </row>
    <row r="23" spans="1:25" ht="16.5" x14ac:dyDescent="0.3">
      <c r="A23" s="1">
        <v>2024</v>
      </c>
      <c r="B23" s="1" t="s">
        <v>90</v>
      </c>
      <c r="C23" s="1">
        <v>1</v>
      </c>
      <c r="D23" t="s">
        <v>47</v>
      </c>
      <c r="E23" t="s">
        <v>48</v>
      </c>
      <c r="F23" t="s">
        <v>49</v>
      </c>
      <c r="G23" t="s">
        <v>50</v>
      </c>
      <c r="H23" s="33" t="s">
        <v>51</v>
      </c>
      <c r="I23" t="s">
        <v>52</v>
      </c>
      <c r="J23" t="s">
        <v>53</v>
      </c>
      <c r="K23" s="41">
        <v>45622</v>
      </c>
      <c r="L23" s="34" t="s">
        <v>57</v>
      </c>
      <c r="M23" s="1" t="s">
        <v>55</v>
      </c>
      <c r="O23" s="1">
        <v>0.56000000000000005</v>
      </c>
      <c r="P23" s="1">
        <v>0.32</v>
      </c>
      <c r="Q23" s="1">
        <v>0.2</v>
      </c>
      <c r="R23" s="1">
        <v>0.7</v>
      </c>
      <c r="S23" s="1">
        <v>12.32</v>
      </c>
      <c r="T23" s="1">
        <v>7.7350000000000003</v>
      </c>
      <c r="U23" s="1">
        <v>100.19999999999999</v>
      </c>
      <c r="V23" s="1">
        <v>15.5</v>
      </c>
      <c r="W23" s="1">
        <v>7.33</v>
      </c>
      <c r="X23" s="1">
        <v>32.950000000000003</v>
      </c>
      <c r="Y23" s="1" t="s">
        <v>88</v>
      </c>
    </row>
    <row r="24" spans="1:25" ht="16.5" x14ac:dyDescent="0.3">
      <c r="A24" s="35">
        <v>2021</v>
      </c>
      <c r="B24" s="35" t="s">
        <v>91</v>
      </c>
      <c r="C24" s="55">
        <v>2</v>
      </c>
      <c r="D24" s="33" t="s">
        <v>92</v>
      </c>
      <c r="E24" s="33" t="s">
        <v>93</v>
      </c>
      <c r="F24" s="33" t="s">
        <v>94</v>
      </c>
      <c r="G24" s="33" t="s">
        <v>95</v>
      </c>
      <c r="H24" s="33" t="s">
        <v>51</v>
      </c>
      <c r="I24" s="33" t="s">
        <v>96</v>
      </c>
      <c r="J24" s="33" t="s">
        <v>97</v>
      </c>
      <c r="K24" s="37">
        <v>44389</v>
      </c>
      <c r="L24" s="34" t="s">
        <v>59</v>
      </c>
      <c r="M24" s="34" t="s">
        <v>55</v>
      </c>
      <c r="N24" s="35">
        <v>298</v>
      </c>
      <c r="O24" s="35">
        <v>0.4</v>
      </c>
      <c r="P24" s="35">
        <v>0.1</v>
      </c>
      <c r="Q24" s="35">
        <v>0.1</v>
      </c>
      <c r="R24" s="35">
        <v>4.4000000000000004</v>
      </c>
      <c r="S24" s="35">
        <v>2.8</v>
      </c>
      <c r="T24" s="35">
        <v>7.49</v>
      </c>
      <c r="U24" s="35">
        <v>97.5</v>
      </c>
      <c r="V24" s="35">
        <v>15.6</v>
      </c>
      <c r="W24" s="35">
        <v>6.76</v>
      </c>
      <c r="X24" s="35">
        <v>43.6</v>
      </c>
      <c r="Y24" s="35">
        <v>2189.39</v>
      </c>
    </row>
    <row r="25" spans="1:25" ht="16.5" x14ac:dyDescent="0.3">
      <c r="A25" s="1">
        <v>2024</v>
      </c>
      <c r="B25" s="1" t="s">
        <v>98</v>
      </c>
      <c r="C25" s="1">
        <v>1</v>
      </c>
      <c r="D25" t="s">
        <v>99</v>
      </c>
      <c r="E25" t="s">
        <v>100</v>
      </c>
      <c r="F25" t="s">
        <v>101</v>
      </c>
      <c r="G25" t="s">
        <v>102</v>
      </c>
      <c r="H25" t="s">
        <v>103</v>
      </c>
      <c r="I25" t="s">
        <v>104</v>
      </c>
      <c r="J25" t="s">
        <v>105</v>
      </c>
      <c r="K25" s="41">
        <v>45461</v>
      </c>
      <c r="L25" s="34" t="s">
        <v>76</v>
      </c>
      <c r="M25" s="34" t="s">
        <v>55</v>
      </c>
      <c r="O25" s="1">
        <v>0.46</v>
      </c>
      <c r="P25" s="1">
        <v>0.16</v>
      </c>
      <c r="Q25" s="1">
        <v>0.08</v>
      </c>
      <c r="R25" s="1">
        <v>1.6</v>
      </c>
      <c r="S25" s="1">
        <v>14.3</v>
      </c>
      <c r="T25" s="1">
        <v>7.1950000000000003</v>
      </c>
      <c r="U25" s="1">
        <v>99.2</v>
      </c>
      <c r="V25" s="1">
        <v>17.899999999999999</v>
      </c>
      <c r="W25" s="1">
        <v>7.48</v>
      </c>
      <c r="X25" s="1">
        <v>67.5</v>
      </c>
      <c r="Y25" s="1">
        <v>141.5</v>
      </c>
    </row>
    <row r="26" spans="1:25" ht="16.5" x14ac:dyDescent="0.3">
      <c r="A26" s="1">
        <v>2024</v>
      </c>
      <c r="B26" s="1" t="s">
        <v>106</v>
      </c>
      <c r="C26" s="1">
        <v>1</v>
      </c>
      <c r="D26" t="s">
        <v>99</v>
      </c>
      <c r="E26" t="s">
        <v>100</v>
      </c>
      <c r="F26" t="s">
        <v>101</v>
      </c>
      <c r="G26" t="s">
        <v>102</v>
      </c>
      <c r="H26" t="s">
        <v>103</v>
      </c>
      <c r="I26" t="s">
        <v>104</v>
      </c>
      <c r="J26" t="s">
        <v>105</v>
      </c>
      <c r="K26" s="41">
        <v>45622</v>
      </c>
      <c r="L26" s="34" t="s">
        <v>57</v>
      </c>
      <c r="M26" s="1" t="s">
        <v>55</v>
      </c>
      <c r="O26" s="1">
        <v>0.24</v>
      </c>
      <c r="P26" s="1">
        <v>0.16</v>
      </c>
      <c r="Q26" s="1">
        <v>0.16</v>
      </c>
      <c r="R26" s="1">
        <v>0.4</v>
      </c>
      <c r="S26" s="1">
        <v>11.6</v>
      </c>
      <c r="T26" s="1">
        <v>7.4049999999999994</v>
      </c>
      <c r="U26" s="1">
        <v>101.15</v>
      </c>
      <c r="V26" s="1">
        <v>17.399999999999999</v>
      </c>
      <c r="W26" s="1">
        <v>7.53</v>
      </c>
      <c r="X26" s="1">
        <v>77.45</v>
      </c>
      <c r="Y26" s="1">
        <v>127.6</v>
      </c>
    </row>
    <row r="27" spans="1:25" ht="16.5" x14ac:dyDescent="0.3">
      <c r="A27" s="35">
        <v>2024</v>
      </c>
      <c r="B27" s="35" t="s">
        <v>107</v>
      </c>
      <c r="C27" s="55">
        <v>1</v>
      </c>
      <c r="D27" s="33" t="s">
        <v>99</v>
      </c>
      <c r="E27" s="33" t="s">
        <v>100</v>
      </c>
      <c r="F27" s="33" t="s">
        <v>101</v>
      </c>
      <c r="G27" s="33" t="s">
        <v>102</v>
      </c>
      <c r="H27" s="33" t="s">
        <v>103</v>
      </c>
      <c r="I27" s="33" t="s">
        <v>104</v>
      </c>
      <c r="J27" s="33" t="s">
        <v>105</v>
      </c>
      <c r="K27" s="37">
        <v>45349</v>
      </c>
      <c r="L27" s="34" t="s">
        <v>70</v>
      </c>
      <c r="M27" s="34" t="s">
        <v>71</v>
      </c>
      <c r="N27" s="35">
        <v>1</v>
      </c>
      <c r="O27" s="35">
        <v>0.64</v>
      </c>
      <c r="P27" s="35">
        <v>0.32</v>
      </c>
      <c r="Q27" s="35">
        <v>0.2</v>
      </c>
      <c r="R27" s="35">
        <v>1.1000000000000001</v>
      </c>
      <c r="S27" s="35">
        <v>0</v>
      </c>
      <c r="T27" s="35">
        <v>7.085</v>
      </c>
      <c r="U27" s="35">
        <v>99.15</v>
      </c>
      <c r="V27" s="35">
        <v>18</v>
      </c>
      <c r="W27" s="35">
        <v>7.3049999999999997</v>
      </c>
      <c r="X27" s="35">
        <v>115.75</v>
      </c>
      <c r="Y27" s="35">
        <v>41.9</v>
      </c>
    </row>
    <row r="28" spans="1:25" ht="16.5" x14ac:dyDescent="0.3">
      <c r="A28" s="35">
        <v>2021</v>
      </c>
      <c r="B28" s="35" t="s">
        <v>108</v>
      </c>
      <c r="C28" s="55">
        <v>1</v>
      </c>
      <c r="D28" s="33" t="s">
        <v>99</v>
      </c>
      <c r="E28" s="33" t="s">
        <v>100</v>
      </c>
      <c r="F28" s="33" t="s">
        <v>101</v>
      </c>
      <c r="G28" s="33" t="s">
        <v>102</v>
      </c>
      <c r="H28" s="33" t="s">
        <v>103</v>
      </c>
      <c r="I28" s="33" t="s">
        <v>104</v>
      </c>
      <c r="J28" s="33" t="s">
        <v>105</v>
      </c>
      <c r="K28" s="37">
        <v>44390</v>
      </c>
      <c r="L28" s="34" t="s">
        <v>59</v>
      </c>
      <c r="M28" s="34" t="s">
        <v>55</v>
      </c>
      <c r="N28" s="35">
        <v>315</v>
      </c>
      <c r="O28" s="35">
        <v>0.5</v>
      </c>
      <c r="P28" s="35">
        <v>0.2</v>
      </c>
      <c r="Q28" s="35">
        <v>0.2</v>
      </c>
      <c r="R28" s="35">
        <v>3.6</v>
      </c>
      <c r="S28" s="35">
        <v>10</v>
      </c>
      <c r="T28" s="35">
        <v>7.59</v>
      </c>
      <c r="U28" s="35">
        <v>101.9</v>
      </c>
      <c r="V28" s="35">
        <v>16.8</v>
      </c>
      <c r="W28" s="35">
        <v>7.54</v>
      </c>
      <c r="X28" s="35">
        <v>66.099999999999994</v>
      </c>
      <c r="Y28" s="35">
        <v>229.63</v>
      </c>
    </row>
    <row r="29" spans="1:25" ht="16.5" x14ac:dyDescent="0.3">
      <c r="A29" s="35">
        <v>2019</v>
      </c>
      <c r="B29" s="35" t="s">
        <v>109</v>
      </c>
      <c r="C29" s="55">
        <v>1</v>
      </c>
      <c r="D29" s="33" t="s">
        <v>99</v>
      </c>
      <c r="E29" s="33" t="s">
        <v>100</v>
      </c>
      <c r="F29" s="33" t="s">
        <v>101</v>
      </c>
      <c r="G29" s="33" t="s">
        <v>102</v>
      </c>
      <c r="H29" s="33" t="s">
        <v>103</v>
      </c>
      <c r="I29" s="33" t="s">
        <v>104</v>
      </c>
      <c r="J29" s="33" t="s">
        <v>105</v>
      </c>
      <c r="K29" s="37">
        <v>43794</v>
      </c>
      <c r="L29" s="34" t="s">
        <v>57</v>
      </c>
      <c r="M29" s="34" t="s">
        <v>55</v>
      </c>
      <c r="N29" s="35">
        <v>179</v>
      </c>
      <c r="O29" s="35">
        <v>0.3</v>
      </c>
      <c r="P29" s="35">
        <v>0.1</v>
      </c>
      <c r="Q29" s="35">
        <v>0.1</v>
      </c>
      <c r="R29" s="35">
        <v>1</v>
      </c>
      <c r="S29" s="35">
        <v>10</v>
      </c>
      <c r="T29" s="35">
        <v>7.47</v>
      </c>
      <c r="U29" s="35">
        <v>98.1</v>
      </c>
      <c r="V29" s="35">
        <v>15.8</v>
      </c>
      <c r="W29" s="35">
        <v>7.5</v>
      </c>
      <c r="X29" s="35">
        <v>62.8</v>
      </c>
      <c r="Y29" s="35">
        <v>136.47</v>
      </c>
    </row>
    <row r="30" spans="1:25" ht="16.5" x14ac:dyDescent="0.3">
      <c r="A30" s="35">
        <v>2019</v>
      </c>
      <c r="B30" s="35" t="s">
        <v>110</v>
      </c>
      <c r="C30" s="55">
        <v>2</v>
      </c>
      <c r="D30" s="33" t="s">
        <v>92</v>
      </c>
      <c r="E30" s="33" t="s">
        <v>93</v>
      </c>
      <c r="F30" s="33" t="s">
        <v>94</v>
      </c>
      <c r="G30" s="33" t="s">
        <v>95</v>
      </c>
      <c r="H30" s="33" t="s">
        <v>51</v>
      </c>
      <c r="I30" s="33" t="s">
        <v>96</v>
      </c>
      <c r="J30" s="33" t="s">
        <v>97</v>
      </c>
      <c r="K30" s="37">
        <v>43795</v>
      </c>
      <c r="L30" s="34" t="s">
        <v>57</v>
      </c>
      <c r="M30" s="34" t="s">
        <v>55</v>
      </c>
      <c r="N30" s="35">
        <v>162</v>
      </c>
      <c r="O30" s="35">
        <v>0.5</v>
      </c>
      <c r="P30" s="35">
        <v>0.1</v>
      </c>
      <c r="Q30" s="35">
        <v>0.1</v>
      </c>
      <c r="R30" s="35">
        <v>2.2000000000000002</v>
      </c>
      <c r="S30" s="35">
        <v>18.100000000000001</v>
      </c>
      <c r="T30" s="35">
        <v>7.24</v>
      </c>
      <c r="U30" s="35">
        <v>97.7</v>
      </c>
      <c r="V30" s="35">
        <v>17.5</v>
      </c>
      <c r="W30" s="35">
        <v>7.23</v>
      </c>
      <c r="X30" s="35">
        <v>44.6</v>
      </c>
      <c r="Y30" s="35">
        <v>9631.39</v>
      </c>
    </row>
    <row r="31" spans="1:25" ht="16.5" x14ac:dyDescent="0.3">
      <c r="A31" s="35">
        <v>2020</v>
      </c>
      <c r="B31" s="35" t="s">
        <v>111</v>
      </c>
      <c r="C31" s="55">
        <v>2</v>
      </c>
      <c r="D31" s="33" t="s">
        <v>92</v>
      </c>
      <c r="E31" s="33" t="s">
        <v>93</v>
      </c>
      <c r="F31" s="33" t="s">
        <v>94</v>
      </c>
      <c r="G31" s="33" t="s">
        <v>95</v>
      </c>
      <c r="H31" s="33" t="s">
        <v>51</v>
      </c>
      <c r="I31" s="33" t="s">
        <v>96</v>
      </c>
      <c r="J31" s="33" t="s">
        <v>97</v>
      </c>
      <c r="K31" s="37">
        <v>43886</v>
      </c>
      <c r="L31" s="34" t="s">
        <v>70</v>
      </c>
      <c r="M31" s="34" t="s">
        <v>71</v>
      </c>
      <c r="N31" s="35">
        <v>185</v>
      </c>
      <c r="O31" s="35">
        <v>0.6</v>
      </c>
      <c r="P31" s="35">
        <v>0.3</v>
      </c>
      <c r="Q31" s="35">
        <v>0.2</v>
      </c>
      <c r="R31" s="35">
        <v>4.7</v>
      </c>
      <c r="S31" s="35">
        <v>10</v>
      </c>
      <c r="T31" s="35">
        <v>6.85</v>
      </c>
      <c r="U31" s="35">
        <v>92.1</v>
      </c>
      <c r="V31" s="35">
        <v>17.899999999999999</v>
      </c>
      <c r="W31" s="35">
        <v>6.75</v>
      </c>
      <c r="X31" s="35">
        <v>86.6</v>
      </c>
      <c r="Y31" s="35">
        <v>684.89</v>
      </c>
    </row>
    <row r="32" spans="1:25" ht="16.5" x14ac:dyDescent="0.3">
      <c r="A32" s="35">
        <v>2020</v>
      </c>
      <c r="B32" s="35" t="s">
        <v>112</v>
      </c>
      <c r="C32" s="55">
        <v>2</v>
      </c>
      <c r="D32" s="33" t="s">
        <v>92</v>
      </c>
      <c r="E32" s="33" t="s">
        <v>93</v>
      </c>
      <c r="F32" s="33" t="s">
        <v>94</v>
      </c>
      <c r="G32" s="33" t="s">
        <v>95</v>
      </c>
      <c r="H32" s="33" t="s">
        <v>51</v>
      </c>
      <c r="I32" s="33" t="s">
        <v>96</v>
      </c>
      <c r="J32" s="33" t="s">
        <v>97</v>
      </c>
      <c r="K32" s="37">
        <v>44067</v>
      </c>
      <c r="L32" s="34" t="s">
        <v>54</v>
      </c>
      <c r="M32" s="34" t="s">
        <v>55</v>
      </c>
      <c r="N32" s="35">
        <v>208</v>
      </c>
      <c r="O32" s="35">
        <v>1.4</v>
      </c>
      <c r="P32" s="35">
        <v>0.5</v>
      </c>
      <c r="Q32" s="35">
        <v>0.1</v>
      </c>
      <c r="R32" s="35">
        <v>1.3</v>
      </c>
      <c r="S32" s="35">
        <v>24.9</v>
      </c>
      <c r="T32" s="35">
        <v>7.66</v>
      </c>
      <c r="U32" s="35">
        <v>98</v>
      </c>
      <c r="V32" s="35">
        <v>15.2</v>
      </c>
      <c r="W32" s="35">
        <v>6.7</v>
      </c>
      <c r="X32" s="35">
        <v>38</v>
      </c>
      <c r="Y32" s="35">
        <v>4800</v>
      </c>
    </row>
    <row r="33" spans="1:25" ht="16.5" x14ac:dyDescent="0.3">
      <c r="A33" s="35">
        <v>2020</v>
      </c>
      <c r="B33" s="35" t="s">
        <v>113</v>
      </c>
      <c r="C33" s="55">
        <v>2</v>
      </c>
      <c r="D33" s="33" t="s">
        <v>92</v>
      </c>
      <c r="E33" s="33" t="s">
        <v>93</v>
      </c>
      <c r="F33" s="33" t="s">
        <v>94</v>
      </c>
      <c r="G33" s="33" t="s">
        <v>95</v>
      </c>
      <c r="H33" s="33" t="s">
        <v>51</v>
      </c>
      <c r="I33" s="33" t="s">
        <v>96</v>
      </c>
      <c r="J33" s="33" t="s">
        <v>97</v>
      </c>
      <c r="K33" s="37">
        <v>44158</v>
      </c>
      <c r="L33" s="34" t="s">
        <v>57</v>
      </c>
      <c r="M33" s="34" t="s">
        <v>55</v>
      </c>
      <c r="N33" s="35">
        <v>229</v>
      </c>
      <c r="O33" s="35">
        <v>0.8</v>
      </c>
      <c r="P33" s="35">
        <v>0.4</v>
      </c>
      <c r="Q33" s="35">
        <v>0.3</v>
      </c>
      <c r="R33" s="35">
        <v>1.1000000000000001</v>
      </c>
      <c r="S33" s="35">
        <v>10.8</v>
      </c>
      <c r="T33" s="35">
        <v>7.78</v>
      </c>
      <c r="U33" s="35">
        <v>101.9</v>
      </c>
      <c r="V33" s="35">
        <v>16.2</v>
      </c>
      <c r="W33" s="35">
        <v>6.96</v>
      </c>
      <c r="X33" s="35">
        <v>43.9</v>
      </c>
      <c r="Y33" s="35">
        <v>11230</v>
      </c>
    </row>
    <row r="34" spans="1:25" ht="16.5" x14ac:dyDescent="0.3">
      <c r="A34" s="35">
        <v>2021</v>
      </c>
      <c r="B34" s="35" t="s">
        <v>114</v>
      </c>
      <c r="C34" s="55">
        <v>2</v>
      </c>
      <c r="D34" s="33" t="s">
        <v>92</v>
      </c>
      <c r="E34" s="33" t="s">
        <v>93</v>
      </c>
      <c r="F34" s="33" t="s">
        <v>94</v>
      </c>
      <c r="G34" s="33" t="s">
        <v>95</v>
      </c>
      <c r="H34" s="33" t="s">
        <v>51</v>
      </c>
      <c r="I34" s="33" t="s">
        <v>96</v>
      </c>
      <c r="J34" s="33" t="s">
        <v>97</v>
      </c>
      <c r="K34" s="37">
        <v>44228</v>
      </c>
      <c r="L34" s="34" t="s">
        <v>70</v>
      </c>
      <c r="M34" s="34" t="s">
        <v>71</v>
      </c>
      <c r="N34" s="35">
        <v>252</v>
      </c>
      <c r="O34" s="35">
        <v>0.57999999999999996</v>
      </c>
      <c r="P34" s="35">
        <v>0.34</v>
      </c>
      <c r="Q34" s="35">
        <v>0.24</v>
      </c>
      <c r="R34" s="35">
        <v>1.6</v>
      </c>
      <c r="S34" s="35">
        <v>10</v>
      </c>
      <c r="T34" s="35">
        <v>7.09</v>
      </c>
      <c r="U34" s="35">
        <v>96.6</v>
      </c>
      <c r="V34" s="35">
        <v>17.2</v>
      </c>
      <c r="W34" s="35">
        <v>6.92</v>
      </c>
      <c r="X34" s="35">
        <v>79.400000000000006</v>
      </c>
      <c r="Y34" s="35">
        <v>859.86</v>
      </c>
    </row>
    <row r="35" spans="1:25" ht="16.5" x14ac:dyDescent="0.3">
      <c r="A35" s="35">
        <v>2021</v>
      </c>
      <c r="B35" s="35" t="s">
        <v>115</v>
      </c>
      <c r="C35" s="55">
        <v>2</v>
      </c>
      <c r="D35" s="33" t="s">
        <v>92</v>
      </c>
      <c r="E35" s="33" t="s">
        <v>93</v>
      </c>
      <c r="F35" s="33" t="s">
        <v>94</v>
      </c>
      <c r="G35" s="33" t="s">
        <v>95</v>
      </c>
      <c r="H35" s="33" t="s">
        <v>51</v>
      </c>
      <c r="I35" s="33" t="s">
        <v>96</v>
      </c>
      <c r="J35" s="33" t="s">
        <v>97</v>
      </c>
      <c r="K35" s="37">
        <v>44529</v>
      </c>
      <c r="L35" s="34" t="s">
        <v>57</v>
      </c>
      <c r="M35" s="34" t="s">
        <v>55</v>
      </c>
      <c r="N35" s="35">
        <v>275</v>
      </c>
      <c r="O35" s="35">
        <v>0.6</v>
      </c>
      <c r="P35" s="35">
        <v>0.3</v>
      </c>
      <c r="Q35" s="35">
        <v>0.2</v>
      </c>
      <c r="R35" s="35">
        <v>1</v>
      </c>
      <c r="S35" s="35">
        <v>5.0999999999999996</v>
      </c>
      <c r="T35" s="35">
        <v>7.38</v>
      </c>
      <c r="U35" s="35">
        <v>97.3</v>
      </c>
      <c r="V35" s="35">
        <v>16.5</v>
      </c>
      <c r="W35" s="35">
        <v>6.99</v>
      </c>
      <c r="X35" s="35">
        <v>34.4</v>
      </c>
      <c r="Y35" s="35">
        <v>3371.45</v>
      </c>
    </row>
    <row r="36" spans="1:25" ht="16.5" x14ac:dyDescent="0.3">
      <c r="A36" s="35">
        <v>2019</v>
      </c>
      <c r="B36" s="35" t="s">
        <v>116</v>
      </c>
      <c r="C36" s="55">
        <v>1</v>
      </c>
      <c r="D36" s="33" t="s">
        <v>117</v>
      </c>
      <c r="E36" s="33" t="s">
        <v>118</v>
      </c>
      <c r="F36" s="33" t="s">
        <v>119</v>
      </c>
      <c r="G36" s="33" t="s">
        <v>120</v>
      </c>
      <c r="H36" s="33" t="s">
        <v>121</v>
      </c>
      <c r="I36" s="33" t="s">
        <v>122</v>
      </c>
      <c r="J36" s="33" t="s">
        <v>123</v>
      </c>
      <c r="K36" s="37">
        <v>43795</v>
      </c>
      <c r="L36" s="34" t="s">
        <v>57</v>
      </c>
      <c r="M36" s="34" t="s">
        <v>55</v>
      </c>
      <c r="N36" s="35">
        <v>171</v>
      </c>
      <c r="O36" s="35">
        <v>0.3</v>
      </c>
      <c r="P36" s="35">
        <v>0.1</v>
      </c>
      <c r="Q36" s="35">
        <v>0.1</v>
      </c>
      <c r="R36" s="35">
        <v>1.4</v>
      </c>
      <c r="S36" s="35">
        <v>10</v>
      </c>
      <c r="T36" s="35">
        <v>6.82</v>
      </c>
      <c r="U36" s="35">
        <v>97.5</v>
      </c>
      <c r="V36" s="35">
        <v>19.3</v>
      </c>
      <c r="W36" s="35">
        <v>7.31</v>
      </c>
      <c r="X36" s="35">
        <v>76.7</v>
      </c>
      <c r="Y36" s="35">
        <v>287.08</v>
      </c>
    </row>
    <row r="37" spans="1:25" ht="16.5" x14ac:dyDescent="0.3">
      <c r="A37" s="35">
        <v>2020</v>
      </c>
      <c r="B37" s="35" t="s">
        <v>124</v>
      </c>
      <c r="C37" s="55">
        <v>1</v>
      </c>
      <c r="D37" s="33" t="s">
        <v>117</v>
      </c>
      <c r="E37" s="33" t="s">
        <v>118</v>
      </c>
      <c r="F37" s="33" t="s">
        <v>119</v>
      </c>
      <c r="G37" s="33" t="s">
        <v>120</v>
      </c>
      <c r="H37" s="33" t="s">
        <v>121</v>
      </c>
      <c r="I37" s="33" t="s">
        <v>122</v>
      </c>
      <c r="J37" s="33" t="s">
        <v>123</v>
      </c>
      <c r="K37" s="37">
        <v>43886</v>
      </c>
      <c r="L37" s="34" t="s">
        <v>70</v>
      </c>
      <c r="M37" s="34" t="s">
        <v>71</v>
      </c>
      <c r="N37" s="35">
        <v>194</v>
      </c>
      <c r="O37" s="35">
        <v>0.4</v>
      </c>
      <c r="P37" s="35">
        <v>0.2</v>
      </c>
      <c r="Q37" s="35">
        <v>0.1</v>
      </c>
      <c r="R37" s="35">
        <v>1.9</v>
      </c>
      <c r="S37" s="35">
        <v>10</v>
      </c>
      <c r="T37" s="35">
        <v>6.96</v>
      </c>
      <c r="U37" s="35">
        <v>104.5</v>
      </c>
      <c r="V37" s="35">
        <v>22.1</v>
      </c>
      <c r="W37" s="35">
        <v>7.68</v>
      </c>
      <c r="X37" s="35">
        <v>95.3</v>
      </c>
      <c r="Y37" s="35">
        <v>145.59</v>
      </c>
    </row>
    <row r="38" spans="1:25" ht="16.5" x14ac:dyDescent="0.3">
      <c r="A38" s="35">
        <v>2020</v>
      </c>
      <c r="B38" s="35" t="s">
        <v>125</v>
      </c>
      <c r="C38" s="55">
        <v>1</v>
      </c>
      <c r="D38" s="33" t="s">
        <v>99</v>
      </c>
      <c r="E38" s="33" t="s">
        <v>100</v>
      </c>
      <c r="F38" s="33" t="s">
        <v>101</v>
      </c>
      <c r="G38" s="33" t="s">
        <v>102</v>
      </c>
      <c r="H38" s="33" t="s">
        <v>103</v>
      </c>
      <c r="I38" s="33" t="s">
        <v>104</v>
      </c>
      <c r="J38" s="33" t="s">
        <v>105</v>
      </c>
      <c r="K38" s="37">
        <v>43885</v>
      </c>
      <c r="L38" s="34" t="s">
        <v>70</v>
      </c>
      <c r="M38" s="34" t="s">
        <v>71</v>
      </c>
      <c r="N38" s="35">
        <v>202</v>
      </c>
      <c r="O38" s="35">
        <v>0.5</v>
      </c>
      <c r="P38" s="35">
        <v>0.2</v>
      </c>
      <c r="Q38" s="35">
        <v>0.1</v>
      </c>
      <c r="R38" s="35">
        <v>1.4</v>
      </c>
      <c r="S38" s="35">
        <v>18.600000000000001</v>
      </c>
      <c r="T38" s="35">
        <v>7.37</v>
      </c>
      <c r="U38" s="35">
        <v>99.5</v>
      </c>
      <c r="V38" s="35">
        <v>17.3</v>
      </c>
      <c r="W38" s="35">
        <v>7.43</v>
      </c>
      <c r="X38" s="35">
        <v>91</v>
      </c>
      <c r="Y38" s="35">
        <v>51.97</v>
      </c>
    </row>
    <row r="39" spans="1:25" ht="16.5" x14ac:dyDescent="0.3">
      <c r="A39" s="35">
        <v>2020</v>
      </c>
      <c r="B39" s="35" t="s">
        <v>126</v>
      </c>
      <c r="C39" s="55">
        <v>1</v>
      </c>
      <c r="D39" s="33" t="s">
        <v>99</v>
      </c>
      <c r="E39" s="33" t="s">
        <v>100</v>
      </c>
      <c r="F39" s="33" t="s">
        <v>101</v>
      </c>
      <c r="G39" s="33" t="s">
        <v>102</v>
      </c>
      <c r="H39" s="33" t="s">
        <v>103</v>
      </c>
      <c r="I39" s="33" t="s">
        <v>104</v>
      </c>
      <c r="J39" s="33" t="s">
        <v>105</v>
      </c>
      <c r="K39" s="37">
        <v>44068</v>
      </c>
      <c r="L39" s="34" t="s">
        <v>54</v>
      </c>
      <c r="M39" s="34" t="s">
        <v>55</v>
      </c>
      <c r="N39" s="35">
        <v>223</v>
      </c>
      <c r="O39" s="35">
        <v>0.5</v>
      </c>
      <c r="P39" s="35">
        <v>0.1</v>
      </c>
      <c r="Q39" s="35">
        <v>0.1</v>
      </c>
      <c r="R39" s="35">
        <v>0.6</v>
      </c>
      <c r="S39" s="35">
        <v>10</v>
      </c>
      <c r="T39" s="35">
        <v>7.49</v>
      </c>
      <c r="U39" s="35">
        <v>98.9</v>
      </c>
      <c r="V39" s="35">
        <v>15.9</v>
      </c>
      <c r="W39" s="35">
        <v>7.01</v>
      </c>
      <c r="X39" s="35">
        <v>68.400000000000006</v>
      </c>
      <c r="Y39" s="35">
        <v>114.54</v>
      </c>
    </row>
    <row r="40" spans="1:25" ht="16.5" x14ac:dyDescent="0.3">
      <c r="A40" s="35">
        <v>2020</v>
      </c>
      <c r="B40" s="35" t="s">
        <v>127</v>
      </c>
      <c r="C40" s="55">
        <v>1</v>
      </c>
      <c r="D40" s="33" t="s">
        <v>99</v>
      </c>
      <c r="E40" s="33" t="s">
        <v>100</v>
      </c>
      <c r="F40" s="33" t="s">
        <v>101</v>
      </c>
      <c r="G40" s="33" t="s">
        <v>102</v>
      </c>
      <c r="H40" s="33" t="s">
        <v>103</v>
      </c>
      <c r="I40" s="33" t="s">
        <v>104</v>
      </c>
      <c r="J40" s="33" t="s">
        <v>105</v>
      </c>
      <c r="K40" s="37">
        <v>44159</v>
      </c>
      <c r="L40" s="34" t="s">
        <v>57</v>
      </c>
      <c r="M40" s="34" t="s">
        <v>55</v>
      </c>
      <c r="N40" s="35">
        <v>246</v>
      </c>
      <c r="O40" s="35">
        <v>0.7</v>
      </c>
      <c r="P40" s="35">
        <v>0.4</v>
      </c>
      <c r="Q40" s="35">
        <v>0.2</v>
      </c>
      <c r="R40" s="35">
        <v>1</v>
      </c>
      <c r="S40" s="35">
        <v>10</v>
      </c>
      <c r="T40" s="35">
        <v>8.0399999999999991</v>
      </c>
      <c r="U40" s="35">
        <v>104.6</v>
      </c>
      <c r="V40" s="35">
        <v>15.5</v>
      </c>
      <c r="W40" s="35">
        <v>7.51</v>
      </c>
      <c r="X40" s="35">
        <v>61.6</v>
      </c>
      <c r="Y40" s="35">
        <v>220.42</v>
      </c>
    </row>
    <row r="41" spans="1:25" ht="16.5" x14ac:dyDescent="0.3">
      <c r="A41" s="35">
        <v>2021</v>
      </c>
      <c r="B41" s="35" t="s">
        <v>128</v>
      </c>
      <c r="C41" s="55">
        <v>1</v>
      </c>
      <c r="D41" s="33" t="s">
        <v>61</v>
      </c>
      <c r="E41" s="33" t="s">
        <v>62</v>
      </c>
      <c r="F41" s="33" t="s">
        <v>63</v>
      </c>
      <c r="G41" s="33" t="s">
        <v>64</v>
      </c>
      <c r="H41" s="33" t="s">
        <v>65</v>
      </c>
      <c r="I41" s="33" t="s">
        <v>66</v>
      </c>
      <c r="J41" s="33" t="s">
        <v>67</v>
      </c>
      <c r="K41" s="37">
        <v>44529</v>
      </c>
      <c r="L41" s="34" t="s">
        <v>57</v>
      </c>
      <c r="M41" s="34" t="s">
        <v>55</v>
      </c>
      <c r="N41" s="35">
        <v>288</v>
      </c>
      <c r="O41" s="35">
        <v>0.94</v>
      </c>
      <c r="P41" s="35">
        <v>0.5</v>
      </c>
      <c r="Q41" s="35">
        <v>0.32</v>
      </c>
      <c r="R41" s="35">
        <v>4.9000000000000004</v>
      </c>
      <c r="S41" s="35">
        <v>54.2</v>
      </c>
      <c r="T41" s="35">
        <v>6.18</v>
      </c>
      <c r="U41" s="35">
        <v>179.7</v>
      </c>
      <c r="V41" s="35">
        <v>21</v>
      </c>
      <c r="W41" s="35">
        <v>6.9</v>
      </c>
      <c r="X41" s="35">
        <v>91.15</v>
      </c>
      <c r="Y41" s="35" t="s">
        <v>88</v>
      </c>
    </row>
    <row r="42" spans="1:25" ht="16.5" x14ac:dyDescent="0.3">
      <c r="A42" s="35">
        <v>2022</v>
      </c>
      <c r="B42" s="35" t="s">
        <v>129</v>
      </c>
      <c r="C42" s="55">
        <v>1</v>
      </c>
      <c r="D42" s="33" t="s">
        <v>61</v>
      </c>
      <c r="E42" s="33" t="s">
        <v>62</v>
      </c>
      <c r="F42" s="33" t="s">
        <v>63</v>
      </c>
      <c r="G42" s="33" t="s">
        <v>64</v>
      </c>
      <c r="H42" s="33" t="s">
        <v>65</v>
      </c>
      <c r="I42" s="33" t="s">
        <v>66</v>
      </c>
      <c r="J42" s="33" t="s">
        <v>67</v>
      </c>
      <c r="K42" s="37">
        <v>44621</v>
      </c>
      <c r="L42" s="34" t="s">
        <v>130</v>
      </c>
      <c r="M42" s="34" t="s">
        <v>71</v>
      </c>
      <c r="N42" s="35">
        <v>58</v>
      </c>
      <c r="O42" s="35">
        <v>0.98</v>
      </c>
      <c r="P42" s="35">
        <v>0.4</v>
      </c>
      <c r="Q42" s="35">
        <v>0.24</v>
      </c>
      <c r="R42" s="35">
        <v>7</v>
      </c>
      <c r="S42" s="35">
        <v>18.100000000000001</v>
      </c>
      <c r="T42" s="35">
        <v>6.06</v>
      </c>
      <c r="U42" s="35">
        <v>87.45</v>
      </c>
      <c r="V42" s="35">
        <v>19.7</v>
      </c>
      <c r="W42" s="35">
        <v>7.21</v>
      </c>
      <c r="X42" s="35">
        <v>102.5</v>
      </c>
      <c r="Y42" s="35">
        <v>1065.7</v>
      </c>
    </row>
    <row r="43" spans="1:25" ht="16.5" x14ac:dyDescent="0.3">
      <c r="A43" s="35">
        <v>2022</v>
      </c>
      <c r="B43" s="35" t="s">
        <v>131</v>
      </c>
      <c r="C43" s="55">
        <v>1</v>
      </c>
      <c r="D43" s="33" t="s">
        <v>61</v>
      </c>
      <c r="E43" s="33" t="s">
        <v>62</v>
      </c>
      <c r="F43" s="33" t="s">
        <v>63</v>
      </c>
      <c r="G43" s="33" t="s">
        <v>64</v>
      </c>
      <c r="H43" s="33" t="s">
        <v>65</v>
      </c>
      <c r="I43" s="33" t="s">
        <v>66</v>
      </c>
      <c r="J43" s="33" t="s">
        <v>67</v>
      </c>
      <c r="K43" s="37">
        <v>44727</v>
      </c>
      <c r="L43" s="34" t="s">
        <v>76</v>
      </c>
      <c r="M43" s="34" t="s">
        <v>55</v>
      </c>
      <c r="N43" s="35">
        <v>75</v>
      </c>
      <c r="O43" s="35">
        <v>0.34</v>
      </c>
      <c r="P43" s="35">
        <v>0.1</v>
      </c>
      <c r="Q43" s="35">
        <v>0.04</v>
      </c>
      <c r="R43" s="35">
        <v>4</v>
      </c>
      <c r="S43" s="35">
        <v>36</v>
      </c>
      <c r="T43" s="35">
        <v>6.1550000000000002</v>
      </c>
      <c r="U43" s="35">
        <v>89</v>
      </c>
      <c r="V43" s="35">
        <v>20.8</v>
      </c>
      <c r="W43" s="35">
        <v>7.06</v>
      </c>
      <c r="X43" s="35">
        <v>87.15</v>
      </c>
      <c r="Y43" s="35">
        <v>1627.3</v>
      </c>
    </row>
    <row r="44" spans="1:25" ht="16.5" x14ac:dyDescent="0.3">
      <c r="A44" s="35">
        <v>2022</v>
      </c>
      <c r="B44" s="35" t="s">
        <v>132</v>
      </c>
      <c r="C44" s="55">
        <v>1</v>
      </c>
      <c r="D44" s="33" t="s">
        <v>61</v>
      </c>
      <c r="E44" s="33" t="s">
        <v>62</v>
      </c>
      <c r="F44" s="33" t="s">
        <v>63</v>
      </c>
      <c r="G44" s="33" t="s">
        <v>64</v>
      </c>
      <c r="H44" s="33" t="s">
        <v>65</v>
      </c>
      <c r="I44" s="33" t="s">
        <v>66</v>
      </c>
      <c r="J44" s="33" t="s">
        <v>67</v>
      </c>
      <c r="K44" s="37">
        <v>44894</v>
      </c>
      <c r="L44" s="34" t="s">
        <v>57</v>
      </c>
      <c r="M44" s="34" t="s">
        <v>55</v>
      </c>
      <c r="N44" s="35">
        <v>88</v>
      </c>
      <c r="O44" s="35">
        <v>0.38</v>
      </c>
      <c r="P44" s="35">
        <v>0.14000000000000001</v>
      </c>
      <c r="Q44" s="35">
        <v>0.04</v>
      </c>
      <c r="R44" s="35">
        <v>2.2999999999999998</v>
      </c>
      <c r="S44" s="35">
        <v>13.3</v>
      </c>
      <c r="T44" s="35">
        <v>6.1349999999999998</v>
      </c>
      <c r="U44" s="35">
        <v>90.35</v>
      </c>
      <c r="V44" s="35">
        <v>20.7</v>
      </c>
      <c r="W44" s="35">
        <v>6.875</v>
      </c>
      <c r="X44" s="35">
        <v>84.4</v>
      </c>
      <c r="Y44" s="35" t="s">
        <v>88</v>
      </c>
    </row>
    <row r="45" spans="1:25" ht="16.5" x14ac:dyDescent="0.3">
      <c r="A45" s="35">
        <v>2021</v>
      </c>
      <c r="B45" s="35" t="s">
        <v>133</v>
      </c>
      <c r="C45" s="55">
        <v>1</v>
      </c>
      <c r="D45" s="33" t="s">
        <v>99</v>
      </c>
      <c r="E45" s="33" t="s">
        <v>100</v>
      </c>
      <c r="F45" s="33" t="s">
        <v>101</v>
      </c>
      <c r="G45" s="33" t="s">
        <v>102</v>
      </c>
      <c r="H45" s="33" t="s">
        <v>103</v>
      </c>
      <c r="I45" s="33" t="s">
        <v>104</v>
      </c>
      <c r="J45" s="33" t="s">
        <v>105</v>
      </c>
      <c r="K45" s="37">
        <v>44229</v>
      </c>
      <c r="L45" s="34" t="s">
        <v>70</v>
      </c>
      <c r="M45" s="34" t="s">
        <v>71</v>
      </c>
      <c r="N45" s="35">
        <v>269</v>
      </c>
      <c r="O45" s="35">
        <v>0.38</v>
      </c>
      <c r="P45" s="35">
        <v>0.14000000000000001</v>
      </c>
      <c r="Q45" s="35">
        <v>0.06</v>
      </c>
      <c r="R45" s="35">
        <v>0.7</v>
      </c>
      <c r="S45" s="35">
        <v>10</v>
      </c>
      <c r="T45" s="35">
        <v>7.5</v>
      </c>
      <c r="U45" s="35">
        <v>98.3</v>
      </c>
      <c r="V45" s="35">
        <v>15.7</v>
      </c>
      <c r="W45" s="35">
        <v>7.24</v>
      </c>
      <c r="X45" s="35">
        <v>85.6</v>
      </c>
      <c r="Y45" s="35">
        <v>74.319999999999993</v>
      </c>
    </row>
    <row r="46" spans="1:25" ht="16.5" x14ac:dyDescent="0.3">
      <c r="A46" s="35">
        <v>2021</v>
      </c>
      <c r="B46" s="35" t="s">
        <v>134</v>
      </c>
      <c r="C46" s="55">
        <v>1</v>
      </c>
      <c r="D46" s="33" t="s">
        <v>99</v>
      </c>
      <c r="E46" s="33" t="s">
        <v>100</v>
      </c>
      <c r="F46" s="33" t="s">
        <v>101</v>
      </c>
      <c r="G46" s="33" t="s">
        <v>102</v>
      </c>
      <c r="H46" s="33" t="s">
        <v>103</v>
      </c>
      <c r="I46" s="33" t="s">
        <v>104</v>
      </c>
      <c r="J46" s="33" t="s">
        <v>105</v>
      </c>
      <c r="K46" s="37">
        <v>44529</v>
      </c>
      <c r="L46" s="34" t="s">
        <v>57</v>
      </c>
      <c r="M46" s="34" t="s">
        <v>55</v>
      </c>
      <c r="N46" s="35">
        <v>292</v>
      </c>
      <c r="O46" s="35">
        <v>0.8</v>
      </c>
      <c r="P46" s="35">
        <v>0.38</v>
      </c>
      <c r="Q46" s="35">
        <v>0.22</v>
      </c>
      <c r="R46" s="35">
        <v>0.1</v>
      </c>
      <c r="S46" s="35">
        <v>0</v>
      </c>
      <c r="T46" s="35">
        <v>7.43</v>
      </c>
      <c r="U46" s="35">
        <v>100.4</v>
      </c>
      <c r="V46" s="35">
        <v>17</v>
      </c>
      <c r="W46" s="35">
        <v>7.22</v>
      </c>
      <c r="X46" s="35">
        <v>50.45</v>
      </c>
      <c r="Y46" s="35">
        <v>355.31</v>
      </c>
    </row>
    <row r="47" spans="1:25" ht="16.5" x14ac:dyDescent="0.3">
      <c r="A47" s="35">
        <v>2022</v>
      </c>
      <c r="B47" s="35" t="s">
        <v>135</v>
      </c>
      <c r="C47" s="55">
        <v>2</v>
      </c>
      <c r="D47" s="33" t="s">
        <v>92</v>
      </c>
      <c r="E47" s="33" t="s">
        <v>93</v>
      </c>
      <c r="F47" s="33" t="s">
        <v>94</v>
      </c>
      <c r="G47" s="33" t="s">
        <v>95</v>
      </c>
      <c r="H47" s="33" t="s">
        <v>51</v>
      </c>
      <c r="I47" s="33" t="s">
        <v>96</v>
      </c>
      <c r="J47" s="33" t="s">
        <v>97</v>
      </c>
      <c r="K47" s="37">
        <v>44614</v>
      </c>
      <c r="L47" s="34" t="s">
        <v>70</v>
      </c>
      <c r="M47" s="34" t="s">
        <v>71</v>
      </c>
      <c r="N47" s="35">
        <v>132</v>
      </c>
      <c r="O47" s="35">
        <v>1.2</v>
      </c>
      <c r="P47" s="35">
        <v>0.4</v>
      </c>
      <c r="Q47" s="35">
        <v>0.2</v>
      </c>
      <c r="R47" s="35">
        <v>3.6</v>
      </c>
      <c r="S47" s="35">
        <v>20.7</v>
      </c>
      <c r="T47" s="35">
        <v>7.92</v>
      </c>
      <c r="U47" s="35">
        <v>99.3</v>
      </c>
      <c r="V47" s="35">
        <v>14.4</v>
      </c>
      <c r="W47" s="35">
        <v>6.8849999999999998</v>
      </c>
      <c r="X47" s="35">
        <v>40.5</v>
      </c>
      <c r="Y47" s="35">
        <v>4735.5</v>
      </c>
    </row>
    <row r="48" spans="1:25" ht="16.5" x14ac:dyDescent="0.3">
      <c r="A48" s="35">
        <v>2022</v>
      </c>
      <c r="B48" s="35" t="s">
        <v>136</v>
      </c>
      <c r="C48" s="55">
        <v>2</v>
      </c>
      <c r="D48" s="33" t="s">
        <v>92</v>
      </c>
      <c r="E48" s="33" t="s">
        <v>93</v>
      </c>
      <c r="F48" s="33" t="s">
        <v>94</v>
      </c>
      <c r="G48" s="33" t="s">
        <v>95</v>
      </c>
      <c r="H48" s="33" t="s">
        <v>51</v>
      </c>
      <c r="I48" s="33" t="s">
        <v>96</v>
      </c>
      <c r="J48" s="33" t="s">
        <v>97</v>
      </c>
      <c r="K48" s="37">
        <v>44720</v>
      </c>
      <c r="L48" s="34" t="s">
        <v>76</v>
      </c>
      <c r="M48" s="34" t="s">
        <v>55</v>
      </c>
      <c r="N48" s="35">
        <v>142</v>
      </c>
      <c r="O48" s="35">
        <v>0.6</v>
      </c>
      <c r="P48" s="35">
        <v>0.3</v>
      </c>
      <c r="Q48" s="35">
        <v>0.2</v>
      </c>
      <c r="R48" s="35">
        <v>3</v>
      </c>
      <c r="S48" s="35">
        <v>18.399999999999999</v>
      </c>
      <c r="T48" s="35">
        <v>7.58</v>
      </c>
      <c r="U48" s="35">
        <v>98.5</v>
      </c>
      <c r="V48" s="35">
        <v>15.9</v>
      </c>
      <c r="W48" s="35">
        <v>7.14</v>
      </c>
      <c r="X48" s="35">
        <v>39.85</v>
      </c>
      <c r="Y48" s="35">
        <v>11226.3</v>
      </c>
    </row>
    <row r="49" spans="1:25" ht="16.5" x14ac:dyDescent="0.3">
      <c r="A49" s="35">
        <v>2022</v>
      </c>
      <c r="B49" s="35" t="s">
        <v>137</v>
      </c>
      <c r="C49" s="55">
        <v>2</v>
      </c>
      <c r="D49" s="33" t="s">
        <v>92</v>
      </c>
      <c r="E49" s="33" t="s">
        <v>93</v>
      </c>
      <c r="F49" s="33" t="s">
        <v>94</v>
      </c>
      <c r="G49" s="33" t="s">
        <v>95</v>
      </c>
      <c r="H49" s="33" t="s">
        <v>51</v>
      </c>
      <c r="I49" s="33" t="s">
        <v>96</v>
      </c>
      <c r="J49" s="33" t="s">
        <v>97</v>
      </c>
      <c r="K49" s="37">
        <v>44888</v>
      </c>
      <c r="L49" s="34" t="s">
        <v>57</v>
      </c>
      <c r="M49" s="34" t="s">
        <v>55</v>
      </c>
      <c r="N49" s="35">
        <v>152</v>
      </c>
      <c r="O49" s="35">
        <v>0.54</v>
      </c>
      <c r="P49" s="35">
        <v>0.22</v>
      </c>
      <c r="Q49" s="35">
        <v>0.1</v>
      </c>
      <c r="R49" s="35">
        <v>4.8</v>
      </c>
      <c r="S49" s="35">
        <v>35.799999999999997</v>
      </c>
      <c r="T49" s="35">
        <v>7.68</v>
      </c>
      <c r="U49" s="35">
        <v>101.65</v>
      </c>
      <c r="V49" s="35">
        <v>17.100000000000001</v>
      </c>
      <c r="W49" s="35">
        <v>7.0149999999999997</v>
      </c>
      <c r="X49" s="35">
        <v>38.299999999999997</v>
      </c>
      <c r="Y49" s="35">
        <v>10114.5</v>
      </c>
    </row>
    <row r="50" spans="1:25" ht="16.5" x14ac:dyDescent="0.3">
      <c r="A50" s="35">
        <v>2023</v>
      </c>
      <c r="B50" s="35" t="s">
        <v>138</v>
      </c>
      <c r="C50" s="55">
        <v>2</v>
      </c>
      <c r="D50" s="33" t="s">
        <v>92</v>
      </c>
      <c r="E50" s="33" t="s">
        <v>93</v>
      </c>
      <c r="F50" s="33" t="s">
        <v>94</v>
      </c>
      <c r="G50" s="33" t="s">
        <v>95</v>
      </c>
      <c r="H50" s="33" t="s">
        <v>51</v>
      </c>
      <c r="I50" s="33" t="s">
        <v>96</v>
      </c>
      <c r="J50" s="33" t="s">
        <v>97</v>
      </c>
      <c r="K50" s="37">
        <v>44985</v>
      </c>
      <c r="L50" s="34" t="s">
        <v>70</v>
      </c>
      <c r="M50" s="34" t="s">
        <v>71</v>
      </c>
      <c r="N50" s="35">
        <v>102</v>
      </c>
      <c r="O50" s="35">
        <v>0.4</v>
      </c>
      <c r="P50" s="35">
        <v>0.14000000000000001</v>
      </c>
      <c r="Q50" s="35">
        <v>0.06</v>
      </c>
      <c r="R50" s="35">
        <v>1.6</v>
      </c>
      <c r="S50" s="35">
        <v>16.399999999999999</v>
      </c>
      <c r="T50" s="35">
        <v>6.77</v>
      </c>
      <c r="U50" s="35">
        <v>89.3</v>
      </c>
      <c r="V50" s="35">
        <v>15.6</v>
      </c>
      <c r="W50" s="35">
        <v>6.6449999999999996</v>
      </c>
      <c r="X50" s="35">
        <v>70.400000000000006</v>
      </c>
      <c r="Y50" s="35">
        <v>1470.1</v>
      </c>
    </row>
    <row r="51" spans="1:25" ht="16.5" x14ac:dyDescent="0.3">
      <c r="A51" s="35">
        <v>2023</v>
      </c>
      <c r="B51" s="35" t="s">
        <v>139</v>
      </c>
      <c r="C51" s="55">
        <v>2</v>
      </c>
      <c r="D51" s="33" t="s">
        <v>92</v>
      </c>
      <c r="E51" s="33" t="s">
        <v>93</v>
      </c>
      <c r="F51" s="33" t="s">
        <v>94</v>
      </c>
      <c r="G51" s="33" t="s">
        <v>95</v>
      </c>
      <c r="H51" s="33" t="s">
        <v>51</v>
      </c>
      <c r="I51" s="33" t="s">
        <v>96</v>
      </c>
      <c r="J51" s="33" t="s">
        <v>97</v>
      </c>
      <c r="K51" s="37">
        <v>45056</v>
      </c>
      <c r="L51" s="34" t="s">
        <v>85</v>
      </c>
      <c r="M51" s="34" t="s">
        <v>55</v>
      </c>
      <c r="N51" s="35">
        <v>112</v>
      </c>
      <c r="O51" s="35">
        <v>0.36</v>
      </c>
      <c r="P51" s="35">
        <v>0.1</v>
      </c>
      <c r="Q51" s="35">
        <v>0.04</v>
      </c>
      <c r="R51" s="35">
        <v>2</v>
      </c>
      <c r="S51" s="35">
        <v>11.1</v>
      </c>
      <c r="T51" s="35">
        <v>6.8250000000000002</v>
      </c>
      <c r="U51" s="35">
        <v>91.4</v>
      </c>
      <c r="V51" s="35">
        <v>17</v>
      </c>
      <c r="W51" s="35">
        <v>6.6950000000000003</v>
      </c>
      <c r="X51" s="35">
        <v>74.599999999999994</v>
      </c>
      <c r="Y51" s="35">
        <v>901.6</v>
      </c>
    </row>
    <row r="52" spans="1:25" ht="16.5" x14ac:dyDescent="0.3">
      <c r="A52" s="35">
        <v>2023</v>
      </c>
      <c r="B52" s="35" t="s">
        <v>140</v>
      </c>
      <c r="C52" s="55">
        <v>2</v>
      </c>
      <c r="D52" s="33" t="s">
        <v>92</v>
      </c>
      <c r="E52" s="33" t="s">
        <v>93</v>
      </c>
      <c r="F52" s="33" t="s">
        <v>94</v>
      </c>
      <c r="G52" s="33" t="s">
        <v>95</v>
      </c>
      <c r="H52" s="33" t="s">
        <v>51</v>
      </c>
      <c r="I52" s="33" t="s">
        <v>96</v>
      </c>
      <c r="J52" s="33" t="s">
        <v>97</v>
      </c>
      <c r="K52" s="37">
        <v>45252</v>
      </c>
      <c r="L52" s="34" t="s">
        <v>57</v>
      </c>
      <c r="M52" s="34" t="s">
        <v>55</v>
      </c>
      <c r="N52" s="35">
        <v>124</v>
      </c>
      <c r="O52" s="35">
        <v>0.34</v>
      </c>
      <c r="P52" s="35">
        <v>0.16</v>
      </c>
      <c r="Q52" s="35">
        <v>0.1</v>
      </c>
      <c r="R52" s="35">
        <v>1.4</v>
      </c>
      <c r="S52" s="35">
        <v>13.6</v>
      </c>
      <c r="T52" s="35">
        <v>7.2750000000000004</v>
      </c>
      <c r="U52" s="35">
        <v>96.15</v>
      </c>
      <c r="V52" s="35">
        <v>16.7</v>
      </c>
      <c r="W52" s="35">
        <v>6.36</v>
      </c>
      <c r="X52" s="35">
        <v>58.15</v>
      </c>
      <c r="Y52" s="35">
        <v>1706.8</v>
      </c>
    </row>
    <row r="53" spans="1:25" ht="16.5" x14ac:dyDescent="0.3">
      <c r="A53" s="35">
        <v>2020</v>
      </c>
      <c r="B53" s="35" t="s">
        <v>141</v>
      </c>
      <c r="C53" s="55">
        <v>1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33" t="s">
        <v>122</v>
      </c>
      <c r="J53" s="33" t="s">
        <v>123</v>
      </c>
      <c r="K53" s="37">
        <v>44067</v>
      </c>
      <c r="L53" s="34" t="s">
        <v>54</v>
      </c>
      <c r="M53" s="34" t="s">
        <v>55</v>
      </c>
      <c r="N53" s="35">
        <v>215</v>
      </c>
      <c r="O53" s="35">
        <v>0.3</v>
      </c>
      <c r="P53" s="35">
        <v>0.1</v>
      </c>
      <c r="Q53" s="35">
        <v>0.1</v>
      </c>
      <c r="R53" s="35">
        <v>3.1</v>
      </c>
      <c r="S53" s="35">
        <v>29.6</v>
      </c>
      <c r="T53" s="35">
        <v>7.24</v>
      </c>
      <c r="U53" s="35">
        <v>99.8</v>
      </c>
      <c r="V53" s="35">
        <v>18.100000000000001</v>
      </c>
      <c r="W53" s="35">
        <v>7.46</v>
      </c>
      <c r="X53" s="35">
        <v>55.6</v>
      </c>
      <c r="Y53" s="35">
        <v>1850.58</v>
      </c>
    </row>
    <row r="54" spans="1:25" ht="16.5" x14ac:dyDescent="0.3">
      <c r="A54" s="35">
        <v>2020</v>
      </c>
      <c r="B54" s="35" t="s">
        <v>142</v>
      </c>
      <c r="C54" s="55">
        <v>1</v>
      </c>
      <c r="D54" s="33" t="s">
        <v>117</v>
      </c>
      <c r="E54" s="33" t="s">
        <v>118</v>
      </c>
      <c r="F54" s="33" t="s">
        <v>119</v>
      </c>
      <c r="G54" s="33" t="s">
        <v>120</v>
      </c>
      <c r="H54" s="33" t="s">
        <v>121</v>
      </c>
      <c r="I54" s="33" t="s">
        <v>122</v>
      </c>
      <c r="J54" s="33" t="s">
        <v>123</v>
      </c>
      <c r="K54" s="37">
        <v>44158</v>
      </c>
      <c r="L54" s="34" t="s">
        <v>57</v>
      </c>
      <c r="M54" s="34" t="s">
        <v>55</v>
      </c>
      <c r="N54" s="35">
        <v>238</v>
      </c>
      <c r="O54" s="35">
        <v>0.5</v>
      </c>
      <c r="P54" s="35">
        <v>0.2</v>
      </c>
      <c r="Q54" s="35">
        <v>0.1</v>
      </c>
      <c r="R54" s="35">
        <v>1.6</v>
      </c>
      <c r="S54" s="35">
        <v>10</v>
      </c>
      <c r="T54" s="35">
        <v>7.46</v>
      </c>
      <c r="U54" s="35">
        <v>104.4</v>
      </c>
      <c r="V54" s="35">
        <v>18.5</v>
      </c>
      <c r="W54" s="35">
        <v>7.19</v>
      </c>
      <c r="X54" s="35">
        <v>69.599999999999994</v>
      </c>
      <c r="Y54" s="35">
        <v>431.17</v>
      </c>
    </row>
    <row r="55" spans="1:25" ht="16.5" x14ac:dyDescent="0.3">
      <c r="A55" s="1">
        <v>2024</v>
      </c>
      <c r="B55" s="1" t="s">
        <v>143</v>
      </c>
      <c r="C55" s="1">
        <v>2</v>
      </c>
      <c r="D55" t="s">
        <v>92</v>
      </c>
      <c r="E55" t="s">
        <v>93</v>
      </c>
      <c r="F55" t="s">
        <v>94</v>
      </c>
      <c r="G55" t="s">
        <v>95</v>
      </c>
      <c r="H55" t="s">
        <v>51</v>
      </c>
      <c r="I55" t="s">
        <v>96</v>
      </c>
      <c r="J55" t="s">
        <v>97</v>
      </c>
      <c r="K55" s="41">
        <v>45349</v>
      </c>
      <c r="L55" s="34" t="s">
        <v>70</v>
      </c>
      <c r="M55" s="1" t="s">
        <v>71</v>
      </c>
      <c r="O55" s="1">
        <v>0.56000000000000005</v>
      </c>
      <c r="P55" s="1">
        <v>0.22</v>
      </c>
      <c r="Q55" s="1">
        <v>0.12</v>
      </c>
      <c r="R55" s="1">
        <v>0.9</v>
      </c>
      <c r="S55" s="1">
        <v>2.6</v>
      </c>
      <c r="T55" s="1">
        <v>6.88</v>
      </c>
      <c r="U55" s="1">
        <v>90.199999999999989</v>
      </c>
      <c r="V55" s="1">
        <v>16.399999999999999</v>
      </c>
      <c r="W55" s="1">
        <v>6.99</v>
      </c>
      <c r="X55" s="1">
        <v>83.3</v>
      </c>
      <c r="Y55" s="1">
        <v>657.5</v>
      </c>
    </row>
    <row r="56" spans="1:25" ht="16.5" x14ac:dyDescent="0.3">
      <c r="A56" s="1">
        <v>2024</v>
      </c>
      <c r="B56" s="1" t="s">
        <v>144</v>
      </c>
      <c r="C56" s="1">
        <v>2</v>
      </c>
      <c r="D56" t="s">
        <v>92</v>
      </c>
      <c r="E56" t="s">
        <v>93</v>
      </c>
      <c r="F56" t="s">
        <v>94</v>
      </c>
      <c r="G56" t="s">
        <v>95</v>
      </c>
      <c r="H56" t="s">
        <v>51</v>
      </c>
      <c r="I56" t="s">
        <v>96</v>
      </c>
      <c r="J56" t="s">
        <v>97</v>
      </c>
      <c r="K56" s="41">
        <v>45461</v>
      </c>
      <c r="L56" s="34" t="s">
        <v>76</v>
      </c>
      <c r="M56" s="34" t="s">
        <v>55</v>
      </c>
      <c r="O56" s="1">
        <v>0.62</v>
      </c>
      <c r="P56" s="1">
        <v>0.26</v>
      </c>
      <c r="Q56" s="1">
        <v>0.12</v>
      </c>
      <c r="R56" s="1">
        <v>0.1</v>
      </c>
      <c r="S56" s="1">
        <v>15.4</v>
      </c>
      <c r="T56" s="1">
        <v>7.7350000000000003</v>
      </c>
      <c r="U56" s="1">
        <v>101.2</v>
      </c>
      <c r="V56" s="1">
        <v>16.600000000000001</v>
      </c>
      <c r="W56" s="1">
        <v>7.5749999999999993</v>
      </c>
      <c r="X56" s="1">
        <v>40.349999999999994</v>
      </c>
      <c r="Y56" s="1" t="s">
        <v>88</v>
      </c>
    </row>
    <row r="57" spans="1:25" ht="16.5" x14ac:dyDescent="0.3">
      <c r="A57" s="1">
        <v>2024</v>
      </c>
      <c r="B57" s="1" t="s">
        <v>145</v>
      </c>
      <c r="C57" s="1">
        <v>2</v>
      </c>
      <c r="D57" t="s">
        <v>92</v>
      </c>
      <c r="E57" t="s">
        <v>93</v>
      </c>
      <c r="F57" t="s">
        <v>94</v>
      </c>
      <c r="G57" t="s">
        <v>95</v>
      </c>
      <c r="H57" t="s">
        <v>51</v>
      </c>
      <c r="I57" t="s">
        <v>96</v>
      </c>
      <c r="J57" t="s">
        <v>97</v>
      </c>
      <c r="K57" s="41">
        <v>45622</v>
      </c>
      <c r="L57" s="34" t="s">
        <v>57</v>
      </c>
      <c r="M57" s="1" t="s">
        <v>55</v>
      </c>
      <c r="O57" s="1">
        <v>2.12</v>
      </c>
      <c r="P57" s="1">
        <v>1.78</v>
      </c>
      <c r="Q57" s="1">
        <v>1.7</v>
      </c>
      <c r="R57" s="1">
        <v>0.8</v>
      </c>
      <c r="S57" s="1">
        <v>9.8000000000000007</v>
      </c>
      <c r="T57" s="1">
        <v>7.6850000000000005</v>
      </c>
      <c r="U57" s="1">
        <v>100.55</v>
      </c>
      <c r="V57" s="1">
        <v>16.100000000000001</v>
      </c>
      <c r="W57" s="1">
        <v>7.0050000000000008</v>
      </c>
      <c r="X57" s="1">
        <v>72.400000000000006</v>
      </c>
      <c r="Y57" s="1" t="s">
        <v>88</v>
      </c>
    </row>
    <row r="58" spans="1:25" ht="16.5" x14ac:dyDescent="0.3">
      <c r="A58" s="1">
        <v>2024</v>
      </c>
      <c r="B58" s="1" t="s">
        <v>146</v>
      </c>
      <c r="C58" s="1">
        <v>4</v>
      </c>
      <c r="D58" t="s">
        <v>147</v>
      </c>
      <c r="E58" t="s">
        <v>148</v>
      </c>
      <c r="F58" t="s">
        <v>94</v>
      </c>
      <c r="G58" t="s">
        <v>95</v>
      </c>
      <c r="H58" t="s">
        <v>51</v>
      </c>
      <c r="I58" t="s">
        <v>149</v>
      </c>
      <c r="J58" t="s">
        <v>150</v>
      </c>
      <c r="K58" s="41">
        <v>45349</v>
      </c>
      <c r="L58" s="34" t="s">
        <v>70</v>
      </c>
      <c r="M58" s="1" t="s">
        <v>71</v>
      </c>
      <c r="O58" s="1">
        <v>1.06</v>
      </c>
      <c r="P58" s="1">
        <v>0.4</v>
      </c>
      <c r="Q58" s="1">
        <v>0.18</v>
      </c>
      <c r="R58" s="1">
        <v>1.5</v>
      </c>
      <c r="S58" s="1">
        <v>13.6</v>
      </c>
      <c r="T58" s="1">
        <v>6.6400000000000006</v>
      </c>
      <c r="U58" s="1">
        <v>90.199999999999989</v>
      </c>
      <c r="V58" s="1">
        <v>18</v>
      </c>
      <c r="W58" s="1">
        <v>6.9249999999999998</v>
      </c>
      <c r="X58" s="1">
        <v>135.14999999999998</v>
      </c>
      <c r="Y58" s="1" t="s">
        <v>88</v>
      </c>
    </row>
    <row r="59" spans="1:25" ht="16.5" x14ac:dyDescent="0.3">
      <c r="A59" s="35">
        <v>2021</v>
      </c>
      <c r="B59" s="35" t="s">
        <v>151</v>
      </c>
      <c r="C59" s="55">
        <v>1</v>
      </c>
      <c r="D59" s="33" t="s">
        <v>117</v>
      </c>
      <c r="E59" s="33" t="s">
        <v>118</v>
      </c>
      <c r="F59" s="33" t="s">
        <v>119</v>
      </c>
      <c r="G59" s="33" t="s">
        <v>120</v>
      </c>
      <c r="H59" s="33" t="s">
        <v>121</v>
      </c>
      <c r="I59" s="33" t="s">
        <v>122</v>
      </c>
      <c r="J59" s="33" t="s">
        <v>123</v>
      </c>
      <c r="K59" s="37">
        <v>44228</v>
      </c>
      <c r="L59" s="34" t="s">
        <v>70</v>
      </c>
      <c r="M59" s="34" t="s">
        <v>71</v>
      </c>
      <c r="N59" s="35">
        <v>261</v>
      </c>
      <c r="O59" s="35">
        <v>0.54</v>
      </c>
      <c r="P59" s="35">
        <v>0.3</v>
      </c>
      <c r="Q59" s="35">
        <v>0.2</v>
      </c>
      <c r="R59" s="35">
        <v>2</v>
      </c>
      <c r="S59" s="35">
        <v>19.7</v>
      </c>
      <c r="T59" s="35">
        <v>6.73</v>
      </c>
      <c r="U59" s="35">
        <v>99.4</v>
      </c>
      <c r="V59" s="35">
        <v>19.8</v>
      </c>
      <c r="W59" s="35">
        <v>7.02</v>
      </c>
      <c r="X59" s="35">
        <v>79.2</v>
      </c>
      <c r="Y59" s="35">
        <v>240.54</v>
      </c>
    </row>
    <row r="60" spans="1:25" ht="16.5" x14ac:dyDescent="0.3">
      <c r="A60" s="35">
        <v>2021</v>
      </c>
      <c r="B60" s="35" t="s">
        <v>152</v>
      </c>
      <c r="C60" s="55">
        <v>1</v>
      </c>
      <c r="D60" s="33" t="s">
        <v>117</v>
      </c>
      <c r="E60" s="33" t="s">
        <v>118</v>
      </c>
      <c r="F60" s="33" t="s">
        <v>119</v>
      </c>
      <c r="G60" s="33" t="s">
        <v>120</v>
      </c>
      <c r="H60" s="33" t="s">
        <v>121</v>
      </c>
      <c r="I60" s="33" t="s">
        <v>122</v>
      </c>
      <c r="J60" s="33" t="s">
        <v>123</v>
      </c>
      <c r="K60" s="37">
        <v>44390</v>
      </c>
      <c r="L60" s="34" t="s">
        <v>59</v>
      </c>
      <c r="M60" s="34" t="s">
        <v>55</v>
      </c>
      <c r="N60" s="35">
        <v>307</v>
      </c>
      <c r="O60" s="35">
        <v>0.5</v>
      </c>
      <c r="P60" s="35">
        <v>0.3</v>
      </c>
      <c r="Q60" s="35">
        <v>0.1</v>
      </c>
      <c r="R60" s="35">
        <v>1</v>
      </c>
      <c r="S60" s="35">
        <v>10</v>
      </c>
      <c r="T60" s="35">
        <v>7.87</v>
      </c>
      <c r="U60" s="35">
        <v>101.9</v>
      </c>
      <c r="V60" s="35">
        <v>15.5</v>
      </c>
      <c r="W60" s="35">
        <v>7.02</v>
      </c>
      <c r="X60" s="35">
        <v>59.2</v>
      </c>
      <c r="Y60" s="35">
        <v>1053.6400000000001</v>
      </c>
    </row>
    <row r="61" spans="1:25" ht="16.5" x14ac:dyDescent="0.3">
      <c r="A61" s="35">
        <v>2022</v>
      </c>
      <c r="B61" s="35" t="s">
        <v>153</v>
      </c>
      <c r="C61" s="55">
        <v>1</v>
      </c>
      <c r="D61" s="33" t="s">
        <v>99</v>
      </c>
      <c r="E61" s="33" t="s">
        <v>100</v>
      </c>
      <c r="F61" s="33" t="s">
        <v>101</v>
      </c>
      <c r="G61" s="33" t="s">
        <v>102</v>
      </c>
      <c r="H61" s="33" t="s">
        <v>103</v>
      </c>
      <c r="I61" s="33" t="s">
        <v>104</v>
      </c>
      <c r="J61" s="33" t="s">
        <v>105</v>
      </c>
      <c r="K61" s="37">
        <v>44621</v>
      </c>
      <c r="L61" s="34" t="s">
        <v>130</v>
      </c>
      <c r="M61" s="34" t="s">
        <v>71</v>
      </c>
      <c r="N61" s="35">
        <v>53</v>
      </c>
      <c r="O61" s="35">
        <v>0.36</v>
      </c>
      <c r="P61" s="35">
        <v>0.1</v>
      </c>
      <c r="Q61" s="35">
        <v>0.04</v>
      </c>
      <c r="R61" s="35">
        <v>1.8</v>
      </c>
      <c r="S61" s="35">
        <v>9.6999999999999993</v>
      </c>
      <c r="T61" s="35">
        <v>7.37</v>
      </c>
      <c r="U61" s="35">
        <v>96.85</v>
      </c>
      <c r="V61" s="35">
        <v>16</v>
      </c>
      <c r="W61" s="35">
        <v>7.19</v>
      </c>
      <c r="X61" s="35">
        <v>73.45</v>
      </c>
      <c r="Y61" s="35">
        <v>225.5</v>
      </c>
    </row>
    <row r="62" spans="1:25" ht="16.5" x14ac:dyDescent="0.3">
      <c r="A62" s="35">
        <v>2022</v>
      </c>
      <c r="B62" s="35" t="s">
        <v>154</v>
      </c>
      <c r="C62" s="55">
        <v>1</v>
      </c>
      <c r="D62" s="33" t="s">
        <v>99</v>
      </c>
      <c r="E62" s="33" t="s">
        <v>100</v>
      </c>
      <c r="F62" s="33" t="s">
        <v>101</v>
      </c>
      <c r="G62" s="33" t="s">
        <v>102</v>
      </c>
      <c r="H62" s="33" t="s">
        <v>103</v>
      </c>
      <c r="I62" s="33" t="s">
        <v>104</v>
      </c>
      <c r="J62" s="33" t="s">
        <v>105</v>
      </c>
      <c r="K62" s="37">
        <v>44720</v>
      </c>
      <c r="L62" s="34" t="s">
        <v>76</v>
      </c>
      <c r="M62" s="34" t="s">
        <v>55</v>
      </c>
      <c r="N62" s="35">
        <v>66</v>
      </c>
      <c r="O62" s="35">
        <v>0.32</v>
      </c>
      <c r="P62" s="35">
        <v>0.1</v>
      </c>
      <c r="Q62" s="35">
        <v>0.08</v>
      </c>
      <c r="R62" s="35">
        <v>4.5999999999999996</v>
      </c>
      <c r="S62" s="35">
        <v>11</v>
      </c>
      <c r="T62" s="35">
        <v>7.1749999999999998</v>
      </c>
      <c r="U62" s="35">
        <v>95.5</v>
      </c>
      <c r="V62" s="35">
        <v>16.7</v>
      </c>
      <c r="W62" s="35">
        <v>7.2450000000000001</v>
      </c>
      <c r="X62" s="35">
        <v>61</v>
      </c>
      <c r="Y62" s="35">
        <v>209.3</v>
      </c>
    </row>
    <row r="63" spans="1:25" ht="16.5" x14ac:dyDescent="0.3">
      <c r="A63" s="35">
        <v>2022</v>
      </c>
      <c r="B63" s="35" t="s">
        <v>155</v>
      </c>
      <c r="C63" s="55">
        <v>1</v>
      </c>
      <c r="D63" s="33" t="s">
        <v>99</v>
      </c>
      <c r="E63" s="33" t="s">
        <v>100</v>
      </c>
      <c r="F63" s="33" t="s">
        <v>101</v>
      </c>
      <c r="G63" s="33" t="s">
        <v>102</v>
      </c>
      <c r="H63" s="33" t="s">
        <v>103</v>
      </c>
      <c r="I63" s="33" t="s">
        <v>104</v>
      </c>
      <c r="J63" s="33" t="s">
        <v>105</v>
      </c>
      <c r="K63" s="37">
        <v>44888</v>
      </c>
      <c r="L63" s="34" t="s">
        <v>57</v>
      </c>
      <c r="M63" s="34" t="s">
        <v>55</v>
      </c>
      <c r="N63" s="35">
        <v>79</v>
      </c>
      <c r="O63" s="35">
        <v>0.46</v>
      </c>
      <c r="P63" s="35">
        <v>0.16</v>
      </c>
      <c r="Q63" s="35">
        <v>0.06</v>
      </c>
      <c r="R63" s="35">
        <v>3.1</v>
      </c>
      <c r="S63" s="35">
        <v>0</v>
      </c>
      <c r="T63" s="35">
        <v>7.375</v>
      </c>
      <c r="U63" s="35">
        <v>100.65</v>
      </c>
      <c r="V63" s="35">
        <v>17.399999999999999</v>
      </c>
      <c r="W63" s="35">
        <v>6.9850000000000003</v>
      </c>
      <c r="X63" s="35">
        <v>60.1</v>
      </c>
      <c r="Y63" s="35">
        <v>958.1</v>
      </c>
    </row>
    <row r="64" spans="1:25" ht="16.5" x14ac:dyDescent="0.3">
      <c r="A64" s="35">
        <v>2023</v>
      </c>
      <c r="B64" s="35" t="s">
        <v>156</v>
      </c>
      <c r="C64" s="55">
        <v>1</v>
      </c>
      <c r="D64" s="33" t="s">
        <v>61</v>
      </c>
      <c r="E64" s="33" t="s">
        <v>62</v>
      </c>
      <c r="F64" s="33" t="s">
        <v>63</v>
      </c>
      <c r="G64" s="33" t="s">
        <v>64</v>
      </c>
      <c r="H64" s="33" t="s">
        <v>65</v>
      </c>
      <c r="I64" s="33" t="s">
        <v>66</v>
      </c>
      <c r="J64" s="33" t="s">
        <v>67</v>
      </c>
      <c r="K64" s="37">
        <v>44986</v>
      </c>
      <c r="L64" s="34" t="s">
        <v>130</v>
      </c>
      <c r="M64" s="34" t="s">
        <v>71</v>
      </c>
      <c r="N64" s="35">
        <v>23</v>
      </c>
      <c r="O64" s="35">
        <v>0.68</v>
      </c>
      <c r="P64" s="35">
        <v>0.22</v>
      </c>
      <c r="Q64" s="35">
        <v>0.08</v>
      </c>
      <c r="R64" s="35">
        <v>3</v>
      </c>
      <c r="S64" s="35">
        <v>13</v>
      </c>
      <c r="T64" s="35">
        <v>5.74</v>
      </c>
      <c r="U64" s="35">
        <v>85.4</v>
      </c>
      <c r="V64" s="35">
        <v>21.8</v>
      </c>
      <c r="W64" s="35">
        <v>7.06</v>
      </c>
      <c r="X64" s="35">
        <v>81.599999999999994</v>
      </c>
      <c r="Y64" s="35" t="s">
        <v>88</v>
      </c>
    </row>
    <row r="65" spans="1:25" ht="16.5" x14ac:dyDescent="0.3">
      <c r="A65" s="35">
        <v>2023</v>
      </c>
      <c r="B65" s="35" t="s">
        <v>157</v>
      </c>
      <c r="C65" s="55">
        <v>1</v>
      </c>
      <c r="D65" s="33" t="s">
        <v>61</v>
      </c>
      <c r="E65" s="33" t="s">
        <v>62</v>
      </c>
      <c r="F65" s="33" t="s">
        <v>63</v>
      </c>
      <c r="G65" s="33" t="s">
        <v>64</v>
      </c>
      <c r="H65" s="33" t="s">
        <v>65</v>
      </c>
      <c r="I65" s="33" t="s">
        <v>66</v>
      </c>
      <c r="J65" s="33" t="s">
        <v>67</v>
      </c>
      <c r="K65" s="37">
        <v>45056</v>
      </c>
      <c r="L65" s="34" t="s">
        <v>85</v>
      </c>
      <c r="M65" s="34" t="s">
        <v>55</v>
      </c>
      <c r="N65" s="35">
        <v>27</v>
      </c>
      <c r="O65" s="35">
        <v>0.52</v>
      </c>
      <c r="P65" s="35">
        <v>0.18</v>
      </c>
      <c r="Q65" s="35">
        <v>0.06</v>
      </c>
      <c r="R65" s="35">
        <v>2.4</v>
      </c>
      <c r="S65" s="35">
        <v>7.6</v>
      </c>
      <c r="T65" s="35">
        <v>5.3650000000000002</v>
      </c>
      <c r="U65" s="35">
        <v>78.2</v>
      </c>
      <c r="V65" s="35">
        <v>21.9</v>
      </c>
      <c r="W65" s="35">
        <v>6.9749999999999996</v>
      </c>
      <c r="X65" s="35">
        <v>195.5</v>
      </c>
      <c r="Y65" s="35" t="s">
        <v>88</v>
      </c>
    </row>
    <row r="66" spans="1:25" ht="16.5" x14ac:dyDescent="0.3">
      <c r="A66" s="35">
        <v>2023</v>
      </c>
      <c r="B66" s="35" t="s">
        <v>158</v>
      </c>
      <c r="C66" s="55">
        <v>1</v>
      </c>
      <c r="D66" s="33" t="s">
        <v>61</v>
      </c>
      <c r="E66" s="33" t="s">
        <v>62</v>
      </c>
      <c r="F66" s="33" t="s">
        <v>63</v>
      </c>
      <c r="G66" s="33" t="s">
        <v>64</v>
      </c>
      <c r="H66" s="33" t="s">
        <v>65</v>
      </c>
      <c r="I66" s="33" t="s">
        <v>66</v>
      </c>
      <c r="J66" s="33" t="s">
        <v>67</v>
      </c>
      <c r="K66" s="37">
        <v>45252</v>
      </c>
      <c r="L66" s="34" t="s">
        <v>57</v>
      </c>
      <c r="M66" s="34" t="s">
        <v>55</v>
      </c>
      <c r="N66" s="35">
        <v>45</v>
      </c>
      <c r="O66" s="35">
        <v>0.34</v>
      </c>
      <c r="P66" s="35">
        <v>0.18</v>
      </c>
      <c r="Q66" s="35">
        <v>0.08</v>
      </c>
      <c r="R66" s="35">
        <v>2.4</v>
      </c>
      <c r="S66" s="35">
        <v>12.1</v>
      </c>
      <c r="T66" s="35">
        <v>6.23</v>
      </c>
      <c r="U66" s="35">
        <v>87.9</v>
      </c>
      <c r="V66" s="35">
        <v>19.5</v>
      </c>
      <c r="W66" s="35">
        <v>7.0250000000000004</v>
      </c>
      <c r="X66" s="35">
        <v>101.75</v>
      </c>
      <c r="Y66" s="35" t="s">
        <v>88</v>
      </c>
    </row>
    <row r="67" spans="1:25" ht="16.5" x14ac:dyDescent="0.3">
      <c r="A67" s="1">
        <v>2024</v>
      </c>
      <c r="B67" s="1" t="s">
        <v>159</v>
      </c>
      <c r="C67" s="1">
        <v>1</v>
      </c>
      <c r="D67" t="s">
        <v>61</v>
      </c>
      <c r="E67" t="s">
        <v>62</v>
      </c>
      <c r="F67" t="s">
        <v>63</v>
      </c>
      <c r="G67" t="s">
        <v>64</v>
      </c>
      <c r="H67" t="s">
        <v>65</v>
      </c>
      <c r="I67" t="s">
        <v>66</v>
      </c>
      <c r="J67" t="s">
        <v>67</v>
      </c>
      <c r="K67" s="41">
        <v>45349</v>
      </c>
      <c r="L67" s="34" t="s">
        <v>70</v>
      </c>
      <c r="M67" t="s">
        <v>71</v>
      </c>
      <c r="N67"/>
      <c r="O67">
        <v>0.5</v>
      </c>
      <c r="P67">
        <v>0.22</v>
      </c>
      <c r="Q67">
        <v>0.14000000000000001</v>
      </c>
      <c r="R67">
        <v>3.4</v>
      </c>
      <c r="S67">
        <v>15.9</v>
      </c>
      <c r="T67">
        <v>6.2949999999999999</v>
      </c>
      <c r="U67">
        <v>95.35</v>
      </c>
      <c r="V67">
        <v>22.3</v>
      </c>
      <c r="W67">
        <v>7.3949999999999996</v>
      </c>
      <c r="X67">
        <v>115.9</v>
      </c>
      <c r="Y67" s="1" t="s">
        <v>88</v>
      </c>
    </row>
    <row r="68" spans="1:25" ht="16.5" x14ac:dyDescent="0.3">
      <c r="A68" s="35">
        <v>2023</v>
      </c>
      <c r="B68" s="35" t="s">
        <v>160</v>
      </c>
      <c r="C68" s="55">
        <v>1</v>
      </c>
      <c r="D68" s="33" t="s">
        <v>99</v>
      </c>
      <c r="E68" s="33" t="s">
        <v>100</v>
      </c>
      <c r="F68" s="33" t="s">
        <v>101</v>
      </c>
      <c r="G68" s="33" t="s">
        <v>102</v>
      </c>
      <c r="H68" s="33" t="s">
        <v>103</v>
      </c>
      <c r="I68" s="33" t="s">
        <v>104</v>
      </c>
      <c r="J68" s="33" t="s">
        <v>105</v>
      </c>
      <c r="K68" s="37">
        <v>44986</v>
      </c>
      <c r="L68" s="34" t="s">
        <v>130</v>
      </c>
      <c r="M68" s="34" t="s">
        <v>71</v>
      </c>
      <c r="N68" s="35">
        <v>18</v>
      </c>
      <c r="O68" s="35">
        <v>0.32</v>
      </c>
      <c r="P68" s="35">
        <v>0.12</v>
      </c>
      <c r="Q68" s="35">
        <v>0.06</v>
      </c>
      <c r="R68" s="35">
        <v>2.9</v>
      </c>
      <c r="S68" s="35">
        <v>14.2</v>
      </c>
      <c r="T68" s="35">
        <v>7.1050000000000004</v>
      </c>
      <c r="U68" s="35">
        <v>93.9</v>
      </c>
      <c r="V68" s="35">
        <v>16.100000000000001</v>
      </c>
      <c r="W68" s="35">
        <v>7.1150000000000002</v>
      </c>
      <c r="X68" s="35">
        <v>86.65</v>
      </c>
      <c r="Y68" s="35">
        <v>54.1</v>
      </c>
    </row>
    <row r="69" spans="1:25" ht="16.5" x14ac:dyDescent="0.3">
      <c r="A69" s="35">
        <v>2023</v>
      </c>
      <c r="B69" s="35" t="s">
        <v>161</v>
      </c>
      <c r="C69" s="55">
        <v>1</v>
      </c>
      <c r="D69" s="33" t="s">
        <v>99</v>
      </c>
      <c r="E69" s="33" t="s">
        <v>100</v>
      </c>
      <c r="F69" s="33" t="s">
        <v>101</v>
      </c>
      <c r="G69" s="33" t="s">
        <v>102</v>
      </c>
      <c r="H69" s="33" t="s">
        <v>103</v>
      </c>
      <c r="I69" s="33" t="s">
        <v>104</v>
      </c>
      <c r="J69" s="33" t="s">
        <v>105</v>
      </c>
      <c r="K69" s="37">
        <v>45056</v>
      </c>
      <c r="L69" s="34" t="s">
        <v>85</v>
      </c>
      <c r="M69" s="34" t="s">
        <v>55</v>
      </c>
      <c r="N69" s="35">
        <v>31</v>
      </c>
      <c r="O69" s="35">
        <v>0.3</v>
      </c>
      <c r="P69" s="35">
        <v>0.08</v>
      </c>
      <c r="Q69" s="35">
        <v>0.02</v>
      </c>
      <c r="R69" s="35">
        <v>2</v>
      </c>
      <c r="S69" s="35">
        <v>9.1</v>
      </c>
      <c r="T69" s="35">
        <v>7.3650000000000002</v>
      </c>
      <c r="U69" s="35">
        <v>98.35</v>
      </c>
      <c r="V69" s="35">
        <v>16.399999999999999</v>
      </c>
      <c r="W69" s="35">
        <v>6.9050000000000002</v>
      </c>
      <c r="X69" s="35">
        <v>74.349999999999994</v>
      </c>
      <c r="Y69" s="35">
        <v>116.5</v>
      </c>
    </row>
    <row r="70" spans="1:25" ht="16.5" x14ac:dyDescent="0.3">
      <c r="A70" s="1">
        <v>2024</v>
      </c>
      <c r="B70" s="1" t="s">
        <v>162</v>
      </c>
      <c r="C70" s="1">
        <v>4</v>
      </c>
      <c r="D70" t="s">
        <v>147</v>
      </c>
      <c r="E70" t="s">
        <v>148</v>
      </c>
      <c r="F70" t="s">
        <v>94</v>
      </c>
      <c r="G70" t="s">
        <v>95</v>
      </c>
      <c r="H70" t="s">
        <v>51</v>
      </c>
      <c r="I70" t="s">
        <v>149</v>
      </c>
      <c r="J70" t="s">
        <v>150</v>
      </c>
      <c r="K70" s="41">
        <v>45461</v>
      </c>
      <c r="L70" s="34" t="s">
        <v>76</v>
      </c>
      <c r="M70" s="34" t="s">
        <v>55</v>
      </c>
      <c r="O70" s="1">
        <v>0.6</v>
      </c>
      <c r="P70" s="1">
        <v>0.3</v>
      </c>
      <c r="Q70" s="1">
        <v>0.18</v>
      </c>
      <c r="R70" s="1">
        <v>0.2</v>
      </c>
      <c r="S70" s="1">
        <v>13.5</v>
      </c>
      <c r="T70" s="1">
        <v>6.7799999999999994</v>
      </c>
      <c r="U70" s="1">
        <v>90.8</v>
      </c>
      <c r="V70" s="1">
        <v>17.8</v>
      </c>
      <c r="W70" s="1">
        <v>7.43</v>
      </c>
      <c r="X70" s="1">
        <v>67.05</v>
      </c>
      <c r="Y70" s="1" t="s">
        <v>88</v>
      </c>
    </row>
    <row r="71" spans="1:25" ht="16.5" x14ac:dyDescent="0.3">
      <c r="A71" s="1">
        <v>2024</v>
      </c>
      <c r="B71" s="1" t="s">
        <v>163</v>
      </c>
      <c r="C71" s="1">
        <v>4</v>
      </c>
      <c r="D71" t="s">
        <v>147</v>
      </c>
      <c r="E71" t="s">
        <v>148</v>
      </c>
      <c r="F71" t="s">
        <v>94</v>
      </c>
      <c r="G71" t="s">
        <v>95</v>
      </c>
      <c r="H71" t="s">
        <v>51</v>
      </c>
      <c r="I71" t="s">
        <v>149</v>
      </c>
      <c r="J71" t="s">
        <v>150</v>
      </c>
      <c r="K71" s="41">
        <v>45622</v>
      </c>
      <c r="L71" s="34" t="s">
        <v>57</v>
      </c>
      <c r="M71" s="1" t="s">
        <v>55</v>
      </c>
      <c r="O71" s="1">
        <v>1.82</v>
      </c>
      <c r="P71" s="1">
        <v>1.38</v>
      </c>
      <c r="Q71" s="1">
        <v>1.18</v>
      </c>
      <c r="R71" s="1">
        <v>0.7</v>
      </c>
      <c r="S71" s="1">
        <v>11.5</v>
      </c>
      <c r="T71" s="1">
        <v>7.0949999999999998</v>
      </c>
      <c r="U71" s="1">
        <v>93.55</v>
      </c>
      <c r="V71" s="1">
        <v>16.600000000000001</v>
      </c>
      <c r="W71" s="1">
        <v>6.6199999999999992</v>
      </c>
      <c r="X71" s="1">
        <v>54.3</v>
      </c>
      <c r="Y71" s="1" t="s">
        <v>88</v>
      </c>
    </row>
    <row r="72" spans="1:25" ht="16.5" x14ac:dyDescent="0.3">
      <c r="A72" s="35">
        <v>2021</v>
      </c>
      <c r="B72" s="35" t="s">
        <v>164</v>
      </c>
      <c r="C72" s="55">
        <v>4</v>
      </c>
      <c r="D72" s="33" t="s">
        <v>147</v>
      </c>
      <c r="E72" s="33" t="s">
        <v>148</v>
      </c>
      <c r="F72" s="33" t="s">
        <v>94</v>
      </c>
      <c r="G72" s="33" t="s">
        <v>95</v>
      </c>
      <c r="H72" s="33" t="s">
        <v>51</v>
      </c>
      <c r="I72" s="33" t="s">
        <v>149</v>
      </c>
      <c r="J72" s="33" t="s">
        <v>150</v>
      </c>
      <c r="K72" s="37">
        <v>44389</v>
      </c>
      <c r="L72" s="34" t="s">
        <v>59</v>
      </c>
      <c r="M72" s="34" t="s">
        <v>55</v>
      </c>
      <c r="N72" s="35">
        <v>299</v>
      </c>
      <c r="O72" s="35">
        <v>0.9</v>
      </c>
      <c r="P72" s="35">
        <v>0.5</v>
      </c>
      <c r="Q72" s="35">
        <v>0.3</v>
      </c>
      <c r="R72" s="35">
        <v>4</v>
      </c>
      <c r="S72" s="35">
        <v>0</v>
      </c>
      <c r="T72" s="35">
        <v>6.75</v>
      </c>
      <c r="U72" s="35">
        <v>84.5</v>
      </c>
      <c r="V72" s="35">
        <v>16.399999999999999</v>
      </c>
      <c r="W72" s="35">
        <v>6.5</v>
      </c>
      <c r="X72" s="35">
        <v>53.8</v>
      </c>
      <c r="Y72" s="35" t="s">
        <v>88</v>
      </c>
    </row>
    <row r="73" spans="1:25" ht="16.5" x14ac:dyDescent="0.3">
      <c r="A73" s="35">
        <v>2019</v>
      </c>
      <c r="B73" s="35" t="s">
        <v>165</v>
      </c>
      <c r="C73" s="55">
        <v>4</v>
      </c>
      <c r="D73" s="33" t="s">
        <v>147</v>
      </c>
      <c r="E73" s="33" t="s">
        <v>148</v>
      </c>
      <c r="F73" s="33" t="s">
        <v>94</v>
      </c>
      <c r="G73" s="33" t="s">
        <v>95</v>
      </c>
      <c r="H73" s="33" t="s">
        <v>51</v>
      </c>
      <c r="I73" s="33" t="s">
        <v>149</v>
      </c>
      <c r="J73" s="33" t="s">
        <v>150</v>
      </c>
      <c r="K73" s="37">
        <v>43795</v>
      </c>
      <c r="L73" s="34" t="s">
        <v>57</v>
      </c>
      <c r="M73" s="34" t="s">
        <v>55</v>
      </c>
      <c r="N73" s="35">
        <v>163</v>
      </c>
      <c r="O73" s="35">
        <v>0.6</v>
      </c>
      <c r="P73" s="35">
        <v>0.1</v>
      </c>
      <c r="Q73" s="35">
        <v>0.1</v>
      </c>
      <c r="R73" s="35">
        <v>1.1000000000000001</v>
      </c>
      <c r="S73" s="35">
        <v>10</v>
      </c>
      <c r="T73" s="35">
        <v>6.68</v>
      </c>
      <c r="U73" s="35">
        <v>91.1</v>
      </c>
      <c r="V73" s="35">
        <v>18.399999999999999</v>
      </c>
      <c r="W73" s="35">
        <v>7.06</v>
      </c>
      <c r="X73" s="35">
        <v>49.9</v>
      </c>
      <c r="Y73" s="35">
        <v>8916.9</v>
      </c>
    </row>
    <row r="74" spans="1:25" ht="16.5" x14ac:dyDescent="0.3">
      <c r="A74" s="35">
        <v>2020</v>
      </c>
      <c r="B74" s="35" t="s">
        <v>166</v>
      </c>
      <c r="C74" s="55">
        <v>4</v>
      </c>
      <c r="D74" s="33" t="s">
        <v>147</v>
      </c>
      <c r="E74" s="33" t="s">
        <v>148</v>
      </c>
      <c r="F74" s="33" t="s">
        <v>94</v>
      </c>
      <c r="G74" s="33" t="s">
        <v>95</v>
      </c>
      <c r="H74" s="33" t="s">
        <v>51</v>
      </c>
      <c r="I74" s="33" t="s">
        <v>149</v>
      </c>
      <c r="J74" s="33" t="s">
        <v>150</v>
      </c>
      <c r="K74" s="37">
        <v>43886</v>
      </c>
      <c r="L74" s="34" t="s">
        <v>70</v>
      </c>
      <c r="M74" s="34" t="s">
        <v>71</v>
      </c>
      <c r="N74" s="35">
        <v>186</v>
      </c>
      <c r="O74" s="35">
        <v>0.5</v>
      </c>
      <c r="P74" s="35">
        <v>0.2</v>
      </c>
      <c r="Q74" s="35">
        <v>0.1</v>
      </c>
      <c r="R74" s="35">
        <v>4.0999999999999996</v>
      </c>
      <c r="S74" s="35">
        <v>34.700000000000003</v>
      </c>
      <c r="T74" s="35">
        <v>7.13</v>
      </c>
      <c r="U74" s="35">
        <v>100.4</v>
      </c>
      <c r="V74" s="35">
        <v>20.100000000000001</v>
      </c>
      <c r="W74" s="35">
        <v>7.19</v>
      </c>
      <c r="X74" s="35">
        <v>106.4</v>
      </c>
      <c r="Y74" s="35">
        <v>1006.93</v>
      </c>
    </row>
    <row r="75" spans="1:25" ht="16.5" x14ac:dyDescent="0.3">
      <c r="A75" s="35">
        <v>2020</v>
      </c>
      <c r="B75" s="35" t="s">
        <v>167</v>
      </c>
      <c r="C75" s="55">
        <v>4</v>
      </c>
      <c r="D75" s="33" t="s">
        <v>147</v>
      </c>
      <c r="E75" s="33" t="s">
        <v>148</v>
      </c>
      <c r="F75" s="33" t="s">
        <v>94</v>
      </c>
      <c r="G75" s="33" t="s">
        <v>95</v>
      </c>
      <c r="H75" s="33" t="s">
        <v>51</v>
      </c>
      <c r="I75" s="33" t="s">
        <v>149</v>
      </c>
      <c r="J75" s="33" t="s">
        <v>150</v>
      </c>
      <c r="K75" s="37">
        <v>44067</v>
      </c>
      <c r="L75" s="34" t="s">
        <v>54</v>
      </c>
      <c r="M75" s="34" t="s">
        <v>55</v>
      </c>
      <c r="N75" s="35">
        <v>209</v>
      </c>
      <c r="O75" s="35">
        <v>1.1000000000000001</v>
      </c>
      <c r="P75" s="35">
        <v>0.3</v>
      </c>
      <c r="Q75" s="35">
        <v>0.1</v>
      </c>
      <c r="R75" s="35">
        <v>2</v>
      </c>
      <c r="S75" s="35">
        <v>25.9</v>
      </c>
      <c r="T75" s="35">
        <v>6.35</v>
      </c>
      <c r="U75" s="35">
        <v>84.8</v>
      </c>
      <c r="V75" s="35">
        <v>17.7</v>
      </c>
      <c r="W75" s="35">
        <v>6.46</v>
      </c>
      <c r="X75" s="35">
        <v>59.8</v>
      </c>
      <c r="Y75" s="35">
        <v>9090</v>
      </c>
    </row>
    <row r="76" spans="1:25" ht="16.5" x14ac:dyDescent="0.3">
      <c r="A76" s="35">
        <v>2021</v>
      </c>
      <c r="B76" s="35" t="s">
        <v>168</v>
      </c>
      <c r="C76" s="55">
        <v>1</v>
      </c>
      <c r="D76" s="33" t="s">
        <v>117</v>
      </c>
      <c r="E76" s="33" t="s">
        <v>118</v>
      </c>
      <c r="F76" s="33" t="s">
        <v>119</v>
      </c>
      <c r="G76" s="33" t="s">
        <v>120</v>
      </c>
      <c r="H76" s="33" t="s">
        <v>121</v>
      </c>
      <c r="I76" s="33" t="s">
        <v>122</v>
      </c>
      <c r="J76" s="33" t="s">
        <v>123</v>
      </c>
      <c r="K76" s="37">
        <v>44529</v>
      </c>
      <c r="L76" s="34" t="s">
        <v>57</v>
      </c>
      <c r="M76" s="34" t="s">
        <v>55</v>
      </c>
      <c r="N76" s="35">
        <v>284</v>
      </c>
      <c r="O76" s="35">
        <v>0.5</v>
      </c>
      <c r="P76" s="35">
        <v>0.22</v>
      </c>
      <c r="Q76" s="35">
        <v>0.12</v>
      </c>
      <c r="R76" s="35">
        <v>0</v>
      </c>
      <c r="S76" s="35">
        <v>1.7</v>
      </c>
      <c r="T76" s="35">
        <v>6.99</v>
      </c>
      <c r="U76" s="35">
        <v>96.9</v>
      </c>
      <c r="V76" s="35">
        <v>18.399999999999999</v>
      </c>
      <c r="W76" s="35">
        <v>6.94</v>
      </c>
      <c r="X76" s="35">
        <v>62.95</v>
      </c>
      <c r="Y76" s="35">
        <v>547.82000000000005</v>
      </c>
    </row>
    <row r="77" spans="1:25" ht="16.5" x14ac:dyDescent="0.3">
      <c r="A77" s="35">
        <v>2022</v>
      </c>
      <c r="B77" s="35" t="s">
        <v>169</v>
      </c>
      <c r="C77" s="55">
        <v>1</v>
      </c>
      <c r="D77" s="33" t="s">
        <v>117</v>
      </c>
      <c r="E77" s="33" t="s">
        <v>118</v>
      </c>
      <c r="F77" s="33" t="s">
        <v>119</v>
      </c>
      <c r="G77" s="33" t="s">
        <v>120</v>
      </c>
      <c r="H77" s="33" t="s">
        <v>121</v>
      </c>
      <c r="I77" s="33" t="s">
        <v>122</v>
      </c>
      <c r="J77" s="33" t="s">
        <v>123</v>
      </c>
      <c r="K77" s="37">
        <v>44621</v>
      </c>
      <c r="L77" s="34" t="s">
        <v>130</v>
      </c>
      <c r="M77" s="34" t="s">
        <v>71</v>
      </c>
      <c r="N77" s="35">
        <v>62</v>
      </c>
      <c r="O77" s="35">
        <v>0.98</v>
      </c>
      <c r="P77" s="35">
        <v>0.4</v>
      </c>
      <c r="Q77" s="35">
        <v>0.2</v>
      </c>
      <c r="R77" s="35">
        <v>2</v>
      </c>
      <c r="S77" s="35">
        <v>7</v>
      </c>
      <c r="T77" s="35">
        <v>7.36</v>
      </c>
      <c r="U77" s="35">
        <v>98.6</v>
      </c>
      <c r="V77" s="35">
        <v>16.899999999999999</v>
      </c>
      <c r="W77" s="35">
        <v>7.36</v>
      </c>
      <c r="X77" s="35">
        <v>67.099999999999994</v>
      </c>
      <c r="Y77" s="35">
        <v>556.6</v>
      </c>
    </row>
    <row r="78" spans="1:25" ht="16.5" x14ac:dyDescent="0.3">
      <c r="A78" s="35">
        <v>2022</v>
      </c>
      <c r="B78" s="35" t="s">
        <v>170</v>
      </c>
      <c r="C78" s="55">
        <v>1</v>
      </c>
      <c r="D78" s="33" t="s">
        <v>117</v>
      </c>
      <c r="E78" s="33" t="s">
        <v>118</v>
      </c>
      <c r="F78" s="33" t="s">
        <v>119</v>
      </c>
      <c r="G78" s="33" t="s">
        <v>120</v>
      </c>
      <c r="H78" s="33" t="s">
        <v>121</v>
      </c>
      <c r="I78" s="33" t="s">
        <v>122</v>
      </c>
      <c r="J78" s="33" t="s">
        <v>123</v>
      </c>
      <c r="K78" s="37">
        <v>44727</v>
      </c>
      <c r="L78" s="34" t="s">
        <v>76</v>
      </c>
      <c r="M78" s="34" t="s">
        <v>55</v>
      </c>
      <c r="N78" s="35">
        <v>71</v>
      </c>
      <c r="O78" s="35">
        <v>0.38</v>
      </c>
      <c r="P78" s="35">
        <v>0.14000000000000001</v>
      </c>
      <c r="Q78" s="35">
        <v>0.06</v>
      </c>
      <c r="R78" s="35">
        <v>1</v>
      </c>
      <c r="S78" s="35">
        <v>4.3</v>
      </c>
      <c r="T78" s="35">
        <v>7.14</v>
      </c>
      <c r="U78" s="35">
        <v>99.55</v>
      </c>
      <c r="V78" s="35">
        <v>187</v>
      </c>
      <c r="W78" s="35">
        <v>7.33</v>
      </c>
      <c r="X78" s="35">
        <v>65.849999999999994</v>
      </c>
      <c r="Y78" s="35">
        <v>397.9</v>
      </c>
    </row>
    <row r="79" spans="1:25" ht="16.5" x14ac:dyDescent="0.3">
      <c r="A79" s="35">
        <v>2022</v>
      </c>
      <c r="B79" s="35" t="s">
        <v>171</v>
      </c>
      <c r="C79" s="55">
        <v>1</v>
      </c>
      <c r="D79" s="33" t="s">
        <v>117</v>
      </c>
      <c r="E79" s="33" t="s">
        <v>118</v>
      </c>
      <c r="F79" s="33" t="s">
        <v>119</v>
      </c>
      <c r="G79" s="33" t="s">
        <v>120</v>
      </c>
      <c r="H79" s="33" t="s">
        <v>121</v>
      </c>
      <c r="I79" s="33" t="s">
        <v>122</v>
      </c>
      <c r="J79" s="33" t="s">
        <v>123</v>
      </c>
      <c r="K79" s="37">
        <v>44894</v>
      </c>
      <c r="L79" s="34" t="s">
        <v>57</v>
      </c>
      <c r="M79" s="34" t="s">
        <v>55</v>
      </c>
      <c r="N79" s="35">
        <v>84</v>
      </c>
      <c r="O79" s="35">
        <v>0.4</v>
      </c>
      <c r="P79" s="35">
        <v>0.16</v>
      </c>
      <c r="Q79" s="35">
        <v>0.06</v>
      </c>
      <c r="R79" s="35">
        <v>1.3</v>
      </c>
      <c r="S79" s="35">
        <v>8</v>
      </c>
      <c r="T79" s="35">
        <v>7.4</v>
      </c>
      <c r="U79" s="35">
        <v>102.95</v>
      </c>
      <c r="V79" s="35">
        <v>18.2</v>
      </c>
      <c r="W79" s="35">
        <v>6.7750000000000004</v>
      </c>
      <c r="X79" s="35">
        <v>67.150000000000006</v>
      </c>
      <c r="Y79" s="35">
        <v>522.4</v>
      </c>
    </row>
    <row r="80" spans="1:25" ht="16.5" x14ac:dyDescent="0.3">
      <c r="A80" s="35">
        <v>2023</v>
      </c>
      <c r="B80" s="35" t="s">
        <v>172</v>
      </c>
      <c r="C80" s="55">
        <v>1</v>
      </c>
      <c r="D80" s="33" t="s">
        <v>117</v>
      </c>
      <c r="E80" s="33" t="s">
        <v>118</v>
      </c>
      <c r="F80" s="33" t="s">
        <v>119</v>
      </c>
      <c r="G80" s="33" t="s">
        <v>120</v>
      </c>
      <c r="H80" s="33" t="s">
        <v>121</v>
      </c>
      <c r="I80" s="33" t="s">
        <v>122</v>
      </c>
      <c r="J80" s="33" t="s">
        <v>123</v>
      </c>
      <c r="K80" s="37">
        <v>44986</v>
      </c>
      <c r="L80" s="34" t="s">
        <v>130</v>
      </c>
      <c r="M80" s="34" t="s">
        <v>71</v>
      </c>
      <c r="N80" s="35">
        <v>14</v>
      </c>
      <c r="O80" s="35">
        <v>0.56000000000000005</v>
      </c>
      <c r="P80" s="35">
        <v>0.22</v>
      </c>
      <c r="Q80" s="35">
        <v>0.1</v>
      </c>
      <c r="R80" s="35" t="s">
        <v>173</v>
      </c>
      <c r="S80" s="35">
        <v>22.1</v>
      </c>
      <c r="T80" s="35">
        <v>6.26</v>
      </c>
      <c r="U80" s="35">
        <v>95.6</v>
      </c>
      <c r="V80" s="35">
        <v>22.7</v>
      </c>
      <c r="W80" s="35">
        <v>7.2149999999999999</v>
      </c>
      <c r="X80" s="35">
        <v>87.25</v>
      </c>
      <c r="Y80" s="35">
        <v>238.4</v>
      </c>
    </row>
    <row r="81" spans="1:25" ht="16.5" x14ac:dyDescent="0.3">
      <c r="A81" s="35">
        <v>2023</v>
      </c>
      <c r="B81" s="35" t="s">
        <v>174</v>
      </c>
      <c r="C81" s="55">
        <v>1</v>
      </c>
      <c r="D81" s="33" t="s">
        <v>117</v>
      </c>
      <c r="E81" s="33" t="s">
        <v>118</v>
      </c>
      <c r="F81" s="33" t="s">
        <v>119</v>
      </c>
      <c r="G81" s="33" t="s">
        <v>120</v>
      </c>
      <c r="H81" s="33" t="s">
        <v>121</v>
      </c>
      <c r="I81" s="33" t="s">
        <v>122</v>
      </c>
      <c r="J81" s="33" t="s">
        <v>123</v>
      </c>
      <c r="K81" s="37">
        <v>45062</v>
      </c>
      <c r="L81" s="34" t="s">
        <v>85</v>
      </c>
      <c r="M81" s="34" t="s">
        <v>55</v>
      </c>
      <c r="N81" s="35">
        <v>38</v>
      </c>
      <c r="O81" s="35">
        <v>0.34</v>
      </c>
      <c r="P81" s="35">
        <v>0.14000000000000001</v>
      </c>
      <c r="Q81" s="35">
        <v>0.08</v>
      </c>
      <c r="R81" s="35">
        <v>3.2</v>
      </c>
      <c r="S81" s="35">
        <v>10</v>
      </c>
      <c r="T81" s="35">
        <v>7.1950000000000003</v>
      </c>
      <c r="U81" s="35">
        <v>101</v>
      </c>
      <c r="V81" s="35">
        <v>19</v>
      </c>
      <c r="W81" s="35">
        <v>6.9550000000000001</v>
      </c>
      <c r="X81" s="35">
        <v>80.8</v>
      </c>
      <c r="Y81" s="35">
        <v>238.2</v>
      </c>
    </row>
    <row r="82" spans="1:25" ht="16.5" x14ac:dyDescent="0.3">
      <c r="A82" s="35">
        <v>2020</v>
      </c>
      <c r="B82" s="35" t="s">
        <v>175</v>
      </c>
      <c r="C82" s="55">
        <v>4</v>
      </c>
      <c r="D82" s="33" t="s">
        <v>147</v>
      </c>
      <c r="E82" s="33" t="s">
        <v>148</v>
      </c>
      <c r="F82" s="33" t="s">
        <v>94</v>
      </c>
      <c r="G82" s="33" t="s">
        <v>95</v>
      </c>
      <c r="H82" s="33" t="s">
        <v>51</v>
      </c>
      <c r="I82" s="33" t="s">
        <v>149</v>
      </c>
      <c r="J82" s="33" t="s">
        <v>150</v>
      </c>
      <c r="K82" s="37">
        <v>44158</v>
      </c>
      <c r="L82" s="34" t="s">
        <v>57</v>
      </c>
      <c r="M82" s="34" t="s">
        <v>55</v>
      </c>
      <c r="N82" s="35">
        <v>230</v>
      </c>
      <c r="O82" s="35">
        <v>0.6</v>
      </c>
      <c r="P82" s="35">
        <v>0.3</v>
      </c>
      <c r="Q82" s="35">
        <v>0.2</v>
      </c>
      <c r="R82" s="35">
        <v>1.3</v>
      </c>
      <c r="S82" s="35">
        <v>12.1</v>
      </c>
      <c r="T82" s="35">
        <v>6.89</v>
      </c>
      <c r="U82" s="35">
        <v>91.7</v>
      </c>
      <c r="V82" s="35">
        <v>17.100000000000001</v>
      </c>
      <c r="W82" s="35">
        <v>6.82</v>
      </c>
      <c r="X82" s="35">
        <v>57.2</v>
      </c>
      <c r="Y82" s="35">
        <v>13380</v>
      </c>
    </row>
    <row r="83" spans="1:25" ht="16.5" x14ac:dyDescent="0.3">
      <c r="A83" s="35">
        <v>2021</v>
      </c>
      <c r="B83" s="35" t="s">
        <v>176</v>
      </c>
      <c r="C83" s="55">
        <v>4</v>
      </c>
      <c r="D83" s="33" t="s">
        <v>147</v>
      </c>
      <c r="E83" s="33" t="s">
        <v>148</v>
      </c>
      <c r="F83" s="33" t="s">
        <v>94</v>
      </c>
      <c r="G83" s="33" t="s">
        <v>95</v>
      </c>
      <c r="H83" s="33" t="s">
        <v>51</v>
      </c>
      <c r="I83" s="33" t="s">
        <v>149</v>
      </c>
      <c r="J83" s="33" t="s">
        <v>150</v>
      </c>
      <c r="K83" s="37">
        <v>44228</v>
      </c>
      <c r="L83" s="34" t="s">
        <v>70</v>
      </c>
      <c r="M83" s="34" t="s">
        <v>71</v>
      </c>
      <c r="N83" s="35">
        <v>253</v>
      </c>
      <c r="O83" s="35">
        <v>0.48</v>
      </c>
      <c r="P83" s="35">
        <v>0.18</v>
      </c>
      <c r="Q83" s="35">
        <v>0.08</v>
      </c>
      <c r="R83" s="35">
        <v>1.1000000000000001</v>
      </c>
      <c r="S83" s="35">
        <v>10</v>
      </c>
      <c r="T83" s="35">
        <v>7.11</v>
      </c>
      <c r="U83" s="35">
        <v>97.9</v>
      </c>
      <c r="V83" s="35">
        <v>18.3</v>
      </c>
      <c r="W83" s="35">
        <v>7.11</v>
      </c>
      <c r="X83" s="35">
        <v>79.099999999999994</v>
      </c>
      <c r="Y83" s="35">
        <v>1297.23</v>
      </c>
    </row>
    <row r="84" spans="1:25" ht="16.5" x14ac:dyDescent="0.3">
      <c r="A84" s="35">
        <v>2021</v>
      </c>
      <c r="B84" s="35" t="s">
        <v>177</v>
      </c>
      <c r="C84" s="55">
        <v>4</v>
      </c>
      <c r="D84" s="33" t="s">
        <v>147</v>
      </c>
      <c r="E84" s="33" t="s">
        <v>148</v>
      </c>
      <c r="F84" s="33" t="s">
        <v>94</v>
      </c>
      <c r="G84" s="33" t="s">
        <v>95</v>
      </c>
      <c r="H84" s="33" t="s">
        <v>51</v>
      </c>
      <c r="I84" s="33" t="s">
        <v>149</v>
      </c>
      <c r="J84" s="33" t="s">
        <v>150</v>
      </c>
      <c r="K84" s="37">
        <v>44529</v>
      </c>
      <c r="L84" s="34" t="s">
        <v>57</v>
      </c>
      <c r="M84" s="34" t="s">
        <v>55</v>
      </c>
      <c r="N84" s="35">
        <v>276</v>
      </c>
      <c r="O84" s="35">
        <v>0.6</v>
      </c>
      <c r="P84" s="35">
        <v>0.3</v>
      </c>
      <c r="Q84" s="35">
        <v>0.2</v>
      </c>
      <c r="R84" s="35">
        <v>0.1</v>
      </c>
      <c r="S84" s="35">
        <v>0</v>
      </c>
      <c r="T84" s="35">
        <v>6.72</v>
      </c>
      <c r="U84" s="35">
        <v>92.2</v>
      </c>
      <c r="V84" s="35">
        <v>18</v>
      </c>
      <c r="W84" s="35">
        <v>6.86</v>
      </c>
      <c r="X84" s="35">
        <v>45.3</v>
      </c>
      <c r="Y84" s="35" t="s">
        <v>88</v>
      </c>
    </row>
    <row r="85" spans="1:25" ht="16.5" x14ac:dyDescent="0.3">
      <c r="A85" s="35">
        <v>2022</v>
      </c>
      <c r="B85" s="35" t="s">
        <v>178</v>
      </c>
      <c r="C85" s="55">
        <v>4</v>
      </c>
      <c r="D85" s="33" t="s">
        <v>147</v>
      </c>
      <c r="E85" s="33" t="s">
        <v>148</v>
      </c>
      <c r="F85" s="33" t="s">
        <v>94</v>
      </c>
      <c r="G85" s="33" t="s">
        <v>95</v>
      </c>
      <c r="H85" s="33" t="s">
        <v>51</v>
      </c>
      <c r="I85" s="33" t="s">
        <v>149</v>
      </c>
      <c r="J85" s="33" t="s">
        <v>150</v>
      </c>
      <c r="K85" s="37">
        <v>44614</v>
      </c>
      <c r="L85" s="34" t="s">
        <v>70</v>
      </c>
      <c r="M85" s="34" t="s">
        <v>71</v>
      </c>
      <c r="N85" s="35">
        <v>133</v>
      </c>
      <c r="O85" s="35">
        <v>1.4</v>
      </c>
      <c r="P85" s="35">
        <v>0.5</v>
      </c>
      <c r="Q85" s="35">
        <v>0.2</v>
      </c>
      <c r="R85" s="35">
        <v>5</v>
      </c>
      <c r="S85" s="35">
        <v>39.799999999999997</v>
      </c>
      <c r="T85" s="35">
        <v>7.2949999999999999</v>
      </c>
      <c r="U85" s="35">
        <v>94.1</v>
      </c>
      <c r="V85" s="35">
        <v>15.8</v>
      </c>
      <c r="W85" s="35">
        <v>6.6550000000000002</v>
      </c>
      <c r="X85" s="35">
        <v>54.7</v>
      </c>
      <c r="Y85" s="35">
        <v>5861.8</v>
      </c>
    </row>
    <row r="86" spans="1:25" ht="16.5" x14ac:dyDescent="0.3">
      <c r="A86" s="35">
        <v>2023</v>
      </c>
      <c r="B86" s="35" t="s">
        <v>179</v>
      </c>
      <c r="C86" s="55">
        <v>1</v>
      </c>
      <c r="D86" s="33" t="s">
        <v>99</v>
      </c>
      <c r="E86" s="33" t="s">
        <v>100</v>
      </c>
      <c r="F86" s="33" t="s">
        <v>101</v>
      </c>
      <c r="G86" s="33" t="s">
        <v>102</v>
      </c>
      <c r="H86" s="33" t="s">
        <v>103</v>
      </c>
      <c r="I86" s="33" t="s">
        <v>104</v>
      </c>
      <c r="J86" s="33" t="s">
        <v>105</v>
      </c>
      <c r="K86" s="37">
        <v>45251</v>
      </c>
      <c r="L86" s="34" t="s">
        <v>57</v>
      </c>
      <c r="M86" s="34" t="s">
        <v>55</v>
      </c>
      <c r="N86" s="35">
        <v>40</v>
      </c>
      <c r="O86" s="35">
        <v>0.24</v>
      </c>
      <c r="P86" s="35">
        <v>0.12</v>
      </c>
      <c r="Q86" s="35">
        <v>0.08</v>
      </c>
      <c r="R86" s="35">
        <v>13.2</v>
      </c>
      <c r="S86" s="35">
        <v>12.2</v>
      </c>
      <c r="T86" s="35">
        <v>7.45</v>
      </c>
      <c r="U86" s="35">
        <v>99.5</v>
      </c>
      <c r="V86" s="35">
        <v>16.7</v>
      </c>
      <c r="W86" s="35">
        <v>7.57</v>
      </c>
      <c r="X86" s="35">
        <v>52.3</v>
      </c>
      <c r="Y86" s="35">
        <v>177.3</v>
      </c>
    </row>
    <row r="87" spans="1:25" ht="16.5" x14ac:dyDescent="0.3">
      <c r="A87" s="35">
        <v>2021</v>
      </c>
      <c r="B87" s="35" t="s">
        <v>180</v>
      </c>
      <c r="C87" s="55">
        <v>2</v>
      </c>
      <c r="D87" s="33" t="s">
        <v>181</v>
      </c>
      <c r="E87" s="33" t="s">
        <v>182</v>
      </c>
      <c r="F87" s="33" t="s">
        <v>101</v>
      </c>
      <c r="G87" s="33" t="s">
        <v>183</v>
      </c>
      <c r="H87" s="33" t="s">
        <v>103</v>
      </c>
      <c r="I87" s="33" t="s">
        <v>184</v>
      </c>
      <c r="J87" s="33" t="s">
        <v>185</v>
      </c>
      <c r="K87" s="37">
        <v>44390</v>
      </c>
      <c r="L87" s="34" t="s">
        <v>59</v>
      </c>
      <c r="M87" s="34" t="s">
        <v>55</v>
      </c>
      <c r="N87" s="35">
        <v>316</v>
      </c>
      <c r="O87" s="35">
        <v>0.6</v>
      </c>
      <c r="P87" s="35">
        <v>0.3</v>
      </c>
      <c r="Q87" s="35">
        <v>0.2</v>
      </c>
      <c r="R87" s="35">
        <v>3.8</v>
      </c>
      <c r="S87" s="35">
        <v>10</v>
      </c>
      <c r="T87" s="35">
        <v>7.61</v>
      </c>
      <c r="U87" s="35">
        <v>101.9</v>
      </c>
      <c r="V87" s="35">
        <v>17.100000000000001</v>
      </c>
      <c r="W87" s="35">
        <v>7.34</v>
      </c>
      <c r="X87" s="35">
        <v>68</v>
      </c>
      <c r="Y87" s="35">
        <v>498.52</v>
      </c>
    </row>
    <row r="88" spans="1:25" ht="16.5" x14ac:dyDescent="0.3">
      <c r="A88" s="35">
        <v>2019</v>
      </c>
      <c r="B88" s="35" t="s">
        <v>186</v>
      </c>
      <c r="C88" s="55">
        <v>2</v>
      </c>
      <c r="D88" s="33" t="s">
        <v>181</v>
      </c>
      <c r="E88" s="33" t="s">
        <v>182</v>
      </c>
      <c r="F88" s="33" t="s">
        <v>101</v>
      </c>
      <c r="G88" s="33" t="s">
        <v>183</v>
      </c>
      <c r="H88" s="33" t="s">
        <v>103</v>
      </c>
      <c r="I88" s="33" t="s">
        <v>184</v>
      </c>
      <c r="J88" s="33" t="s">
        <v>185</v>
      </c>
      <c r="K88" s="37">
        <v>43794</v>
      </c>
      <c r="L88" s="34" t="s">
        <v>57</v>
      </c>
      <c r="M88" s="34" t="s">
        <v>55</v>
      </c>
      <c r="N88" s="35">
        <v>180</v>
      </c>
      <c r="O88" s="35">
        <v>0.4</v>
      </c>
      <c r="P88" s="35">
        <v>0.1</v>
      </c>
      <c r="Q88" s="35">
        <v>0.1</v>
      </c>
      <c r="R88" s="35">
        <v>1.5</v>
      </c>
      <c r="S88" s="35">
        <v>10</v>
      </c>
      <c r="T88" s="35">
        <v>7.45</v>
      </c>
      <c r="U88" s="35">
        <v>97.8</v>
      </c>
      <c r="V88" s="35">
        <v>16</v>
      </c>
      <c r="W88" s="35">
        <v>7.38</v>
      </c>
      <c r="X88" s="35">
        <v>61.9</v>
      </c>
      <c r="Y88" s="35">
        <v>292.73</v>
      </c>
    </row>
    <row r="89" spans="1:25" ht="16.5" x14ac:dyDescent="0.3">
      <c r="A89" s="35">
        <v>2020</v>
      </c>
      <c r="B89" s="35" t="s">
        <v>187</v>
      </c>
      <c r="C89" s="55">
        <v>2</v>
      </c>
      <c r="D89" s="33" t="s">
        <v>181</v>
      </c>
      <c r="E89" s="33" t="s">
        <v>182</v>
      </c>
      <c r="F89" s="33" t="s">
        <v>101</v>
      </c>
      <c r="G89" s="33" t="s">
        <v>183</v>
      </c>
      <c r="H89" s="33" t="s">
        <v>103</v>
      </c>
      <c r="I89" s="33" t="s">
        <v>184</v>
      </c>
      <c r="J89" s="33" t="s">
        <v>185</v>
      </c>
      <c r="K89" s="37">
        <v>43885</v>
      </c>
      <c r="L89" s="34" t="s">
        <v>70</v>
      </c>
      <c r="M89" s="34" t="s">
        <v>71</v>
      </c>
      <c r="N89" s="35">
        <v>203</v>
      </c>
      <c r="O89" s="35">
        <v>0.5</v>
      </c>
      <c r="P89" s="35">
        <v>0.2</v>
      </c>
      <c r="Q89" s="35">
        <v>0.1</v>
      </c>
      <c r="R89" s="35">
        <v>2.4</v>
      </c>
      <c r="S89" s="35">
        <v>13.8</v>
      </c>
      <c r="T89" s="35">
        <v>7.38</v>
      </c>
      <c r="U89" s="35">
        <v>99.9</v>
      </c>
      <c r="V89" s="35">
        <v>17.5</v>
      </c>
      <c r="W89" s="35">
        <v>7.31</v>
      </c>
      <c r="X89" s="35">
        <v>80.8</v>
      </c>
      <c r="Y89" s="35">
        <v>185.89</v>
      </c>
    </row>
    <row r="90" spans="1:25" ht="16.5" x14ac:dyDescent="0.3">
      <c r="A90" s="35">
        <v>2020</v>
      </c>
      <c r="B90" s="35" t="s">
        <v>188</v>
      </c>
      <c r="C90" s="55">
        <v>2</v>
      </c>
      <c r="D90" s="33" t="s">
        <v>181</v>
      </c>
      <c r="E90" s="33" t="s">
        <v>182</v>
      </c>
      <c r="F90" s="33" t="s">
        <v>101</v>
      </c>
      <c r="G90" s="33" t="s">
        <v>183</v>
      </c>
      <c r="H90" s="33" t="s">
        <v>103</v>
      </c>
      <c r="I90" s="33" t="s">
        <v>184</v>
      </c>
      <c r="J90" s="33" t="s">
        <v>185</v>
      </c>
      <c r="K90" s="37">
        <v>44068</v>
      </c>
      <c r="L90" s="34" t="s">
        <v>54</v>
      </c>
      <c r="M90" s="34" t="s">
        <v>55</v>
      </c>
      <c r="N90" s="35">
        <v>224</v>
      </c>
      <c r="O90" s="35">
        <v>0.5</v>
      </c>
      <c r="P90" s="35">
        <v>0.1</v>
      </c>
      <c r="Q90" s="35">
        <v>0.1</v>
      </c>
      <c r="R90" s="35">
        <v>0.8</v>
      </c>
      <c r="S90" s="35">
        <v>10.02</v>
      </c>
      <c r="T90" s="35">
        <v>7.49</v>
      </c>
      <c r="U90" s="35">
        <v>99</v>
      </c>
      <c r="V90" s="35">
        <v>16.399999999999999</v>
      </c>
      <c r="W90" s="35">
        <v>7.33</v>
      </c>
      <c r="X90" s="35">
        <v>68.400000000000006</v>
      </c>
      <c r="Y90" s="35">
        <v>314.04000000000002</v>
      </c>
    </row>
    <row r="91" spans="1:25" ht="16.5" x14ac:dyDescent="0.3">
      <c r="A91" s="1">
        <v>2024</v>
      </c>
      <c r="B91" s="1" t="s">
        <v>189</v>
      </c>
      <c r="C91" s="1">
        <v>1</v>
      </c>
      <c r="D91" t="s">
        <v>61</v>
      </c>
      <c r="E91" t="s">
        <v>62</v>
      </c>
      <c r="F91" t="s">
        <v>63</v>
      </c>
      <c r="G91" t="s">
        <v>64</v>
      </c>
      <c r="H91" t="s">
        <v>65</v>
      </c>
      <c r="I91" t="s">
        <v>66</v>
      </c>
      <c r="J91" t="s">
        <v>67</v>
      </c>
      <c r="K91" s="41">
        <v>45461</v>
      </c>
      <c r="L91" s="34" t="s">
        <v>76</v>
      </c>
      <c r="M91" s="34" t="s">
        <v>55</v>
      </c>
      <c r="N91"/>
      <c r="O91">
        <v>0.46</v>
      </c>
      <c r="P91">
        <v>0.24</v>
      </c>
      <c r="Q91">
        <v>0.16</v>
      </c>
      <c r="R91">
        <v>3.7</v>
      </c>
      <c r="S91">
        <v>22.8</v>
      </c>
      <c r="T91">
        <v>6.0950000000000006</v>
      </c>
      <c r="U91">
        <v>89.2</v>
      </c>
      <c r="V91">
        <v>21.3</v>
      </c>
      <c r="W91">
        <v>7.2050000000000001</v>
      </c>
      <c r="X91">
        <v>106.9</v>
      </c>
      <c r="Y91" s="1" t="s">
        <v>88</v>
      </c>
    </row>
    <row r="92" spans="1:25" ht="16.5" x14ac:dyDescent="0.3">
      <c r="A92" s="1">
        <v>2024</v>
      </c>
      <c r="B92" s="1" t="s">
        <v>190</v>
      </c>
      <c r="C92" s="1">
        <v>1</v>
      </c>
      <c r="D92" t="s">
        <v>61</v>
      </c>
      <c r="E92" t="s">
        <v>62</v>
      </c>
      <c r="F92" t="s">
        <v>63</v>
      </c>
      <c r="G92" t="s">
        <v>64</v>
      </c>
      <c r="H92" t="s">
        <v>65</v>
      </c>
      <c r="I92" t="s">
        <v>66</v>
      </c>
      <c r="J92" t="s">
        <v>67</v>
      </c>
      <c r="K92" s="41">
        <v>45622</v>
      </c>
      <c r="L92" s="34" t="s">
        <v>57</v>
      </c>
      <c r="M92" t="s">
        <v>55</v>
      </c>
      <c r="N92"/>
      <c r="O92">
        <v>1.1000000000000001</v>
      </c>
      <c r="P92">
        <v>0.5</v>
      </c>
      <c r="Q92">
        <v>0.4</v>
      </c>
      <c r="R92">
        <v>5.2</v>
      </c>
      <c r="S92">
        <v>32</v>
      </c>
      <c r="T92">
        <v>6.585</v>
      </c>
      <c r="U92">
        <v>94.5</v>
      </c>
      <c r="V92">
        <v>20.8</v>
      </c>
      <c r="W92">
        <v>7.1</v>
      </c>
      <c r="X92">
        <v>94.1</v>
      </c>
      <c r="Y92" s="1" t="s">
        <v>88</v>
      </c>
    </row>
    <row r="93" spans="1:25" ht="16.5" x14ac:dyDescent="0.3">
      <c r="A93" s="35">
        <v>2020</v>
      </c>
      <c r="B93" s="35" t="s">
        <v>191</v>
      </c>
      <c r="C93" s="55">
        <v>2</v>
      </c>
      <c r="D93" s="33" t="s">
        <v>192</v>
      </c>
      <c r="E93" s="33" t="s">
        <v>193</v>
      </c>
      <c r="F93" s="33" t="s">
        <v>194</v>
      </c>
      <c r="G93" s="33" t="s">
        <v>64</v>
      </c>
      <c r="H93" s="33" t="s">
        <v>65</v>
      </c>
      <c r="I93" s="33" t="s">
        <v>195</v>
      </c>
      <c r="J93" s="33" t="s">
        <v>196</v>
      </c>
      <c r="K93" s="37">
        <v>44068</v>
      </c>
      <c r="L93" s="34" t="s">
        <v>54</v>
      </c>
      <c r="M93" s="34" t="s">
        <v>55</v>
      </c>
      <c r="N93" s="35">
        <v>220</v>
      </c>
      <c r="O93" s="35">
        <v>0.9</v>
      </c>
      <c r="P93" s="35">
        <v>0.2</v>
      </c>
      <c r="Q93" s="35">
        <v>0.1</v>
      </c>
      <c r="R93" s="35">
        <v>1.1000000000000001</v>
      </c>
      <c r="S93" s="35">
        <v>16.600000000000001</v>
      </c>
      <c r="T93" s="35">
        <v>6.27</v>
      </c>
      <c r="U93" s="35">
        <v>86.9</v>
      </c>
      <c r="V93" s="35">
        <v>18.7</v>
      </c>
      <c r="W93" s="35">
        <v>7.19</v>
      </c>
      <c r="X93" s="35">
        <v>80.5</v>
      </c>
      <c r="Y93" s="35">
        <v>3920</v>
      </c>
    </row>
    <row r="94" spans="1:25" ht="16.5" x14ac:dyDescent="0.3">
      <c r="A94" s="35">
        <v>2023</v>
      </c>
      <c r="B94" s="35" t="s">
        <v>197</v>
      </c>
      <c r="C94" s="55">
        <v>1</v>
      </c>
      <c r="D94" s="33" t="s">
        <v>117</v>
      </c>
      <c r="E94" s="33" t="s">
        <v>118</v>
      </c>
      <c r="F94" s="33" t="s">
        <v>119</v>
      </c>
      <c r="G94" s="33" t="s">
        <v>120</v>
      </c>
      <c r="H94" s="33" t="s">
        <v>121</v>
      </c>
      <c r="I94" s="33" t="s">
        <v>122</v>
      </c>
      <c r="J94" s="33" t="s">
        <v>123</v>
      </c>
      <c r="K94" s="37">
        <v>45259</v>
      </c>
      <c r="L94" s="34" t="s">
        <v>57</v>
      </c>
      <c r="M94" s="34" t="s">
        <v>55</v>
      </c>
      <c r="N94" s="35">
        <v>51</v>
      </c>
      <c r="O94" s="35">
        <v>0.76</v>
      </c>
      <c r="P94" s="35">
        <v>0.46</v>
      </c>
      <c r="Q94" s="35">
        <v>0.32</v>
      </c>
      <c r="R94" s="35">
        <v>2.7</v>
      </c>
      <c r="S94" s="35">
        <v>22.9</v>
      </c>
      <c r="T94" s="35">
        <v>6.8849999999999998</v>
      </c>
      <c r="U94" s="35">
        <v>100.5</v>
      </c>
      <c r="V94" s="35">
        <v>20.5</v>
      </c>
      <c r="W94" s="35">
        <v>7.4349999999999996</v>
      </c>
      <c r="X94" s="35">
        <v>88.2</v>
      </c>
      <c r="Y94" s="35">
        <v>322.89999999999998</v>
      </c>
    </row>
    <row r="95" spans="1:25" ht="16.5" x14ac:dyDescent="0.3">
      <c r="A95" s="1">
        <v>2024</v>
      </c>
      <c r="B95" s="1" t="s">
        <v>198</v>
      </c>
      <c r="C95" s="1">
        <v>1</v>
      </c>
      <c r="D95" t="s">
        <v>117</v>
      </c>
      <c r="E95" t="s">
        <v>118</v>
      </c>
      <c r="F95" t="s">
        <v>119</v>
      </c>
      <c r="G95" t="s">
        <v>120</v>
      </c>
      <c r="H95" t="s">
        <v>121</v>
      </c>
      <c r="I95" t="s">
        <v>122</v>
      </c>
      <c r="J95" t="s">
        <v>123</v>
      </c>
      <c r="K95" s="41">
        <v>45356</v>
      </c>
      <c r="L95" s="34" t="s">
        <v>130</v>
      </c>
      <c r="M95" t="s">
        <v>71</v>
      </c>
      <c r="N95"/>
      <c r="O95">
        <v>0.62</v>
      </c>
      <c r="P95">
        <v>0.26</v>
      </c>
      <c r="Q95">
        <v>0.14000000000000001</v>
      </c>
      <c r="R95">
        <v>2.2000000000000002</v>
      </c>
      <c r="S95">
        <v>24.4</v>
      </c>
      <c r="T95">
        <v>6.8550000000000004</v>
      </c>
      <c r="U95">
        <v>101.45</v>
      </c>
      <c r="V95">
        <v>21.1</v>
      </c>
      <c r="W95">
        <v>7.0950000000000006</v>
      </c>
      <c r="X95">
        <v>120.80000000000001</v>
      </c>
      <c r="Y95" s="1">
        <v>158.9</v>
      </c>
    </row>
    <row r="96" spans="1:25" ht="16.5" x14ac:dyDescent="0.3">
      <c r="A96" s="1">
        <v>2024</v>
      </c>
      <c r="B96" s="1" t="s">
        <v>199</v>
      </c>
      <c r="C96" s="1">
        <v>1</v>
      </c>
      <c r="D96" t="s">
        <v>117</v>
      </c>
      <c r="E96" t="s">
        <v>118</v>
      </c>
      <c r="F96" t="s">
        <v>119</v>
      </c>
      <c r="G96" t="s">
        <v>120</v>
      </c>
      <c r="H96" t="s">
        <v>121</v>
      </c>
      <c r="I96" t="s">
        <v>122</v>
      </c>
      <c r="J96" t="s">
        <v>123</v>
      </c>
      <c r="K96" s="41">
        <v>45468</v>
      </c>
      <c r="L96" s="34" t="s">
        <v>76</v>
      </c>
      <c r="M96" s="34" t="s">
        <v>55</v>
      </c>
      <c r="N96"/>
      <c r="O96">
        <v>0.52</v>
      </c>
      <c r="P96">
        <v>0.18</v>
      </c>
      <c r="Q96">
        <v>0.08</v>
      </c>
      <c r="R96">
        <v>1.3</v>
      </c>
      <c r="S96">
        <v>9.2899999999999991</v>
      </c>
      <c r="T96">
        <v>7.27</v>
      </c>
      <c r="U96">
        <v>101.95</v>
      </c>
      <c r="V96">
        <v>18</v>
      </c>
      <c r="W96">
        <v>7.15</v>
      </c>
      <c r="X96">
        <v>69.150000000000006</v>
      </c>
      <c r="Y96" s="1">
        <v>1346.5</v>
      </c>
    </row>
    <row r="97" spans="1:25" ht="16.5" x14ac:dyDescent="0.3">
      <c r="A97" s="1">
        <v>2024</v>
      </c>
      <c r="B97" s="1" t="s">
        <v>200</v>
      </c>
      <c r="C97" s="1">
        <v>1</v>
      </c>
      <c r="D97" t="s">
        <v>117</v>
      </c>
      <c r="E97" t="s">
        <v>118</v>
      </c>
      <c r="F97" t="s">
        <v>119</v>
      </c>
      <c r="G97" t="s">
        <v>120</v>
      </c>
      <c r="H97" t="s">
        <v>121</v>
      </c>
      <c r="I97" t="s">
        <v>122</v>
      </c>
      <c r="J97" t="s">
        <v>123</v>
      </c>
      <c r="K97" s="41">
        <v>45629</v>
      </c>
      <c r="L97" s="34" t="s">
        <v>201</v>
      </c>
      <c r="M97" t="s">
        <v>55</v>
      </c>
      <c r="N97"/>
      <c r="O97">
        <v>0.32</v>
      </c>
      <c r="P97">
        <v>0.1</v>
      </c>
      <c r="Q97">
        <v>0.1</v>
      </c>
      <c r="R97">
        <v>1.5</v>
      </c>
      <c r="S97">
        <v>18.3</v>
      </c>
      <c r="T97">
        <v>7.7050000000000001</v>
      </c>
      <c r="U97">
        <v>106.7</v>
      </c>
      <c r="V97">
        <v>18.600000000000001</v>
      </c>
      <c r="W97">
        <v>7.1550000000000002</v>
      </c>
      <c r="X97">
        <v>80.3</v>
      </c>
      <c r="Y97" s="1" t="s">
        <v>88</v>
      </c>
    </row>
    <row r="98" spans="1:25" ht="16.5" x14ac:dyDescent="0.3">
      <c r="A98" s="35">
        <v>2022</v>
      </c>
      <c r="B98" s="35" t="s">
        <v>202</v>
      </c>
      <c r="C98" s="55">
        <v>4</v>
      </c>
      <c r="D98" s="33" t="s">
        <v>147</v>
      </c>
      <c r="E98" s="33" t="s">
        <v>148</v>
      </c>
      <c r="F98" s="33" t="s">
        <v>94</v>
      </c>
      <c r="G98" s="33" t="s">
        <v>95</v>
      </c>
      <c r="H98" s="33" t="s">
        <v>51</v>
      </c>
      <c r="I98" s="33" t="s">
        <v>149</v>
      </c>
      <c r="J98" s="33" t="s">
        <v>150</v>
      </c>
      <c r="K98" s="37">
        <v>44720</v>
      </c>
      <c r="L98" s="34" t="s">
        <v>76</v>
      </c>
      <c r="M98" s="34" t="s">
        <v>55</v>
      </c>
      <c r="N98" s="35">
        <v>143</v>
      </c>
      <c r="O98" s="35">
        <v>0.7</v>
      </c>
      <c r="P98" s="35">
        <v>0.3</v>
      </c>
      <c r="Q98" s="35">
        <v>0.1</v>
      </c>
      <c r="R98" s="35">
        <v>2</v>
      </c>
      <c r="S98" s="35">
        <v>16.600000000000001</v>
      </c>
      <c r="T98" s="35">
        <v>7.14</v>
      </c>
      <c r="U98" s="35">
        <v>93.1</v>
      </c>
      <c r="V98" s="35">
        <v>16.3</v>
      </c>
      <c r="W98" s="35">
        <v>6.9249999999999998</v>
      </c>
      <c r="X98" s="35">
        <v>48.95</v>
      </c>
      <c r="Y98" s="35">
        <v>12205.4</v>
      </c>
    </row>
    <row r="99" spans="1:25" ht="16.5" x14ac:dyDescent="0.3">
      <c r="A99" s="35">
        <v>2022</v>
      </c>
      <c r="B99" s="35" t="s">
        <v>203</v>
      </c>
      <c r="C99" s="55">
        <v>4</v>
      </c>
      <c r="D99" s="33" t="s">
        <v>147</v>
      </c>
      <c r="E99" s="33" t="s">
        <v>148</v>
      </c>
      <c r="F99" s="33" t="s">
        <v>94</v>
      </c>
      <c r="G99" s="33" t="s">
        <v>95</v>
      </c>
      <c r="H99" s="33" t="s">
        <v>51</v>
      </c>
      <c r="I99" s="33" t="s">
        <v>149</v>
      </c>
      <c r="J99" s="33" t="s">
        <v>150</v>
      </c>
      <c r="K99" s="37">
        <v>44888</v>
      </c>
      <c r="L99" s="34" t="s">
        <v>57</v>
      </c>
      <c r="M99" s="34" t="s">
        <v>55</v>
      </c>
      <c r="N99" s="35">
        <v>153</v>
      </c>
      <c r="O99" s="35">
        <v>0.6</v>
      </c>
      <c r="P99" s="35">
        <v>0.24</v>
      </c>
      <c r="Q99" s="35">
        <v>0.1</v>
      </c>
      <c r="R99" s="35">
        <v>7.5</v>
      </c>
      <c r="S99" s="35">
        <v>46.5</v>
      </c>
      <c r="T99" s="35">
        <v>7.0650000000000004</v>
      </c>
      <c r="U99" s="35">
        <v>95.85</v>
      </c>
      <c r="V99" s="35">
        <v>19</v>
      </c>
      <c r="W99" s="35">
        <v>6.98</v>
      </c>
      <c r="X99" s="35">
        <v>45.45</v>
      </c>
      <c r="Y99" s="35">
        <v>11449.5</v>
      </c>
    </row>
    <row r="100" spans="1:25" ht="16.5" x14ac:dyDescent="0.3">
      <c r="A100" s="35">
        <v>2023</v>
      </c>
      <c r="B100" s="35" t="s">
        <v>204</v>
      </c>
      <c r="C100" s="55">
        <v>4</v>
      </c>
      <c r="D100" s="33" t="s">
        <v>147</v>
      </c>
      <c r="E100" s="33" t="s">
        <v>148</v>
      </c>
      <c r="F100" s="33" t="s">
        <v>94</v>
      </c>
      <c r="G100" s="33" t="s">
        <v>95</v>
      </c>
      <c r="H100" s="33" t="s">
        <v>51</v>
      </c>
      <c r="I100" s="33" t="s">
        <v>149</v>
      </c>
      <c r="J100" s="33" t="s">
        <v>150</v>
      </c>
      <c r="K100" s="37">
        <v>44985</v>
      </c>
      <c r="L100" s="34" t="s">
        <v>70</v>
      </c>
      <c r="M100" s="34" t="s">
        <v>71</v>
      </c>
      <c r="N100" s="35">
        <v>103</v>
      </c>
      <c r="O100" s="35">
        <v>0.52</v>
      </c>
      <c r="P100" s="35">
        <v>0.16</v>
      </c>
      <c r="Q100" s="35">
        <v>0.06</v>
      </c>
      <c r="R100" s="35">
        <v>1.9</v>
      </c>
      <c r="S100" s="35">
        <v>23.6</v>
      </c>
      <c r="T100" s="35">
        <v>6.67</v>
      </c>
      <c r="U100" s="35">
        <v>90.9</v>
      </c>
      <c r="V100" s="35">
        <v>18.100000000000001</v>
      </c>
      <c r="W100" s="35">
        <v>6.71</v>
      </c>
      <c r="X100" s="35">
        <v>116.65</v>
      </c>
      <c r="Y100" s="35">
        <v>1318.7</v>
      </c>
    </row>
    <row r="101" spans="1:25" ht="16.5" x14ac:dyDescent="0.3">
      <c r="A101" s="35">
        <v>2023</v>
      </c>
      <c r="B101" s="35" t="s">
        <v>205</v>
      </c>
      <c r="C101" s="55">
        <v>4</v>
      </c>
      <c r="D101" s="33" t="s">
        <v>147</v>
      </c>
      <c r="E101" s="33" t="s">
        <v>148</v>
      </c>
      <c r="F101" s="33" t="s">
        <v>94</v>
      </c>
      <c r="G101" s="33" t="s">
        <v>95</v>
      </c>
      <c r="H101" s="33" t="s">
        <v>51</v>
      </c>
      <c r="I101" s="33" t="s">
        <v>149</v>
      </c>
      <c r="J101" s="33" t="s">
        <v>150</v>
      </c>
      <c r="K101" s="37">
        <v>45056</v>
      </c>
      <c r="L101" s="34" t="s">
        <v>85</v>
      </c>
      <c r="M101" s="34" t="s">
        <v>55</v>
      </c>
      <c r="N101" s="35">
        <v>113</v>
      </c>
      <c r="O101" s="35">
        <v>0.48</v>
      </c>
      <c r="P101" s="35">
        <v>0.18</v>
      </c>
      <c r="Q101" s="35">
        <v>0.08</v>
      </c>
      <c r="R101" s="35">
        <v>2</v>
      </c>
      <c r="S101" s="35">
        <v>7.5</v>
      </c>
      <c r="T101" s="35">
        <v>6.5449999999999999</v>
      </c>
      <c r="U101" s="35">
        <v>90.55</v>
      </c>
      <c r="V101" s="35">
        <v>18.7</v>
      </c>
      <c r="W101" s="35">
        <v>6.66</v>
      </c>
      <c r="X101" s="35">
        <v>113.35</v>
      </c>
      <c r="Y101" s="35">
        <v>1202.3</v>
      </c>
    </row>
    <row r="102" spans="1:25" ht="16.5" x14ac:dyDescent="0.3">
      <c r="A102" s="35">
        <v>2023</v>
      </c>
      <c r="B102" s="35" t="s">
        <v>206</v>
      </c>
      <c r="C102" s="55">
        <v>4</v>
      </c>
      <c r="D102" s="33" t="s">
        <v>147</v>
      </c>
      <c r="E102" s="33" t="s">
        <v>148</v>
      </c>
      <c r="F102" s="33" t="s">
        <v>94</v>
      </c>
      <c r="G102" s="33" t="s">
        <v>95</v>
      </c>
      <c r="H102" s="33" t="s">
        <v>51</v>
      </c>
      <c r="I102" s="33" t="s">
        <v>149</v>
      </c>
      <c r="J102" s="33" t="s">
        <v>150</v>
      </c>
      <c r="K102" s="37">
        <v>45252</v>
      </c>
      <c r="L102" s="34" t="s">
        <v>57</v>
      </c>
      <c r="M102" s="34" t="s">
        <v>55</v>
      </c>
      <c r="N102" s="35">
        <v>125</v>
      </c>
      <c r="O102" s="35">
        <v>0.44</v>
      </c>
      <c r="P102" s="35">
        <v>0.16</v>
      </c>
      <c r="Q102" s="35">
        <v>0.08</v>
      </c>
      <c r="R102" s="35">
        <v>1.5</v>
      </c>
      <c r="S102" s="35">
        <v>7.2</v>
      </c>
      <c r="T102" s="35">
        <v>6.37</v>
      </c>
      <c r="U102" s="35">
        <v>86</v>
      </c>
      <c r="V102" s="35">
        <v>17.8</v>
      </c>
      <c r="W102" s="35">
        <v>6.19</v>
      </c>
      <c r="X102" s="35">
        <v>88.75</v>
      </c>
      <c r="Y102" s="35" t="s">
        <v>88</v>
      </c>
    </row>
    <row r="103" spans="1:25" ht="16.5" x14ac:dyDescent="0.3">
      <c r="A103" s="35">
        <v>2020</v>
      </c>
      <c r="B103" s="35" t="s">
        <v>207</v>
      </c>
      <c r="C103" s="55">
        <v>2</v>
      </c>
      <c r="D103" s="33" t="s">
        <v>181</v>
      </c>
      <c r="E103" s="33" t="s">
        <v>182</v>
      </c>
      <c r="F103" s="33" t="s">
        <v>101</v>
      </c>
      <c r="G103" s="33" t="s">
        <v>183</v>
      </c>
      <c r="H103" s="33" t="s">
        <v>103</v>
      </c>
      <c r="I103" s="33" t="s">
        <v>184</v>
      </c>
      <c r="J103" s="33" t="s">
        <v>185</v>
      </c>
      <c r="K103" s="37">
        <v>44159</v>
      </c>
      <c r="L103" s="34" t="s">
        <v>57</v>
      </c>
      <c r="M103" s="34" t="s">
        <v>55</v>
      </c>
      <c r="N103" s="35">
        <v>247</v>
      </c>
      <c r="O103" s="35">
        <v>0.6</v>
      </c>
      <c r="P103" s="35">
        <v>0.3</v>
      </c>
      <c r="Q103" s="35">
        <v>0.2</v>
      </c>
      <c r="R103" s="35">
        <v>1</v>
      </c>
      <c r="S103" s="35">
        <v>10</v>
      </c>
      <c r="T103" s="35">
        <v>7.91</v>
      </c>
      <c r="U103" s="35">
        <v>103.7</v>
      </c>
      <c r="V103" s="35">
        <v>16.100000000000001</v>
      </c>
      <c r="W103" s="35">
        <v>7.28</v>
      </c>
      <c r="X103" s="35">
        <v>65.599999999999994</v>
      </c>
      <c r="Y103" s="35">
        <v>495.38</v>
      </c>
    </row>
    <row r="104" spans="1:25" ht="16.5" x14ac:dyDescent="0.3">
      <c r="A104" s="35">
        <v>2021</v>
      </c>
      <c r="B104" s="35" t="s">
        <v>208</v>
      </c>
      <c r="C104" s="55">
        <v>2</v>
      </c>
      <c r="D104" s="33" t="s">
        <v>181</v>
      </c>
      <c r="E104" s="33" t="s">
        <v>182</v>
      </c>
      <c r="F104" s="33" t="s">
        <v>101</v>
      </c>
      <c r="G104" s="33" t="s">
        <v>183</v>
      </c>
      <c r="H104" s="33" t="s">
        <v>103</v>
      </c>
      <c r="I104" s="33" t="s">
        <v>184</v>
      </c>
      <c r="J104" s="33" t="s">
        <v>185</v>
      </c>
      <c r="K104" s="37">
        <v>44229</v>
      </c>
      <c r="L104" s="34" t="s">
        <v>70</v>
      </c>
      <c r="M104" s="34" t="s">
        <v>71</v>
      </c>
      <c r="N104" s="35">
        <v>270</v>
      </c>
      <c r="O104" s="35">
        <v>0.32</v>
      </c>
      <c r="P104" s="35">
        <v>0.1</v>
      </c>
      <c r="Q104" s="35">
        <v>0.06</v>
      </c>
      <c r="R104" s="35">
        <v>1.3</v>
      </c>
      <c r="S104" s="35">
        <v>10</v>
      </c>
      <c r="T104" s="35">
        <v>7.38</v>
      </c>
      <c r="U104" s="35">
        <v>97.3</v>
      </c>
      <c r="V104" s="35">
        <v>16.399999999999999</v>
      </c>
      <c r="W104" s="35">
        <v>7.11</v>
      </c>
      <c r="X104" s="35">
        <v>78.900000000000006</v>
      </c>
      <c r="Y104" s="35">
        <v>225.47</v>
      </c>
    </row>
    <row r="105" spans="1:25" ht="16.5" x14ac:dyDescent="0.3">
      <c r="A105" s="35">
        <v>2021</v>
      </c>
      <c r="B105" s="35" t="s">
        <v>209</v>
      </c>
      <c r="C105" s="55">
        <v>2</v>
      </c>
      <c r="D105" s="33" t="s">
        <v>181</v>
      </c>
      <c r="E105" s="33" t="s">
        <v>182</v>
      </c>
      <c r="F105" s="33" t="s">
        <v>101</v>
      </c>
      <c r="G105" s="33" t="s">
        <v>183</v>
      </c>
      <c r="H105" s="33" t="s">
        <v>103</v>
      </c>
      <c r="I105" s="33" t="s">
        <v>184</v>
      </c>
      <c r="J105" s="33" t="s">
        <v>185</v>
      </c>
      <c r="K105" s="37">
        <v>44529</v>
      </c>
      <c r="L105" s="34" t="s">
        <v>57</v>
      </c>
      <c r="M105" s="34" t="s">
        <v>55</v>
      </c>
      <c r="N105" s="35">
        <v>293</v>
      </c>
      <c r="O105" s="35">
        <v>0.68</v>
      </c>
      <c r="P105" s="35">
        <v>0.32</v>
      </c>
      <c r="Q105" s="35">
        <v>0.18</v>
      </c>
      <c r="R105" s="35">
        <v>0.1</v>
      </c>
      <c r="S105" s="35">
        <v>0</v>
      </c>
      <c r="T105" s="35">
        <v>7.2</v>
      </c>
      <c r="U105" s="35">
        <v>98.7</v>
      </c>
      <c r="V105" s="35">
        <v>17.3</v>
      </c>
      <c r="W105" s="35">
        <v>7.8</v>
      </c>
      <c r="X105" s="35">
        <v>58.1</v>
      </c>
      <c r="Y105" s="35">
        <v>798.84</v>
      </c>
    </row>
    <row r="106" spans="1:25" ht="16.5" x14ac:dyDescent="0.3">
      <c r="A106" s="35">
        <v>2022</v>
      </c>
      <c r="B106" s="35" t="s">
        <v>210</v>
      </c>
      <c r="C106" s="55">
        <v>2</v>
      </c>
      <c r="D106" s="33" t="s">
        <v>181</v>
      </c>
      <c r="E106" s="33" t="s">
        <v>182</v>
      </c>
      <c r="F106" s="33" t="s">
        <v>101</v>
      </c>
      <c r="G106" s="33" t="s">
        <v>183</v>
      </c>
      <c r="H106" s="33" t="s">
        <v>103</v>
      </c>
      <c r="I106" s="33" t="s">
        <v>184</v>
      </c>
      <c r="J106" s="33" t="s">
        <v>185</v>
      </c>
      <c r="K106" s="37">
        <v>44621</v>
      </c>
      <c r="L106" s="34" t="s">
        <v>130</v>
      </c>
      <c r="M106" s="34" t="s">
        <v>71</v>
      </c>
      <c r="N106" s="35">
        <v>54</v>
      </c>
      <c r="O106" s="35">
        <v>0.42</v>
      </c>
      <c r="P106" s="35">
        <v>0.14000000000000001</v>
      </c>
      <c r="Q106" s="35">
        <v>0.04</v>
      </c>
      <c r="R106" s="35">
        <v>1.7</v>
      </c>
      <c r="S106" s="35">
        <v>7</v>
      </c>
      <c r="T106" s="35">
        <v>7.2750000000000004</v>
      </c>
      <c r="U106" s="35">
        <v>95.7</v>
      </c>
      <c r="V106" s="35">
        <v>16.100000000000001</v>
      </c>
      <c r="W106" s="35">
        <v>6.97</v>
      </c>
      <c r="X106" s="35">
        <v>67.400000000000006</v>
      </c>
      <c r="Y106" s="35">
        <v>413</v>
      </c>
    </row>
    <row r="107" spans="1:25" ht="16.5" x14ac:dyDescent="0.3">
      <c r="A107" s="35">
        <v>2022</v>
      </c>
      <c r="B107" s="35" t="s">
        <v>211</v>
      </c>
      <c r="C107" s="55">
        <v>2</v>
      </c>
      <c r="D107" s="33" t="s">
        <v>181</v>
      </c>
      <c r="E107" s="33" t="s">
        <v>182</v>
      </c>
      <c r="F107" s="33" t="s">
        <v>101</v>
      </c>
      <c r="G107" s="33" t="s">
        <v>183</v>
      </c>
      <c r="H107" s="33" t="s">
        <v>103</v>
      </c>
      <c r="I107" s="33" t="s">
        <v>184</v>
      </c>
      <c r="J107" s="33" t="s">
        <v>185</v>
      </c>
      <c r="K107" s="37">
        <v>44720</v>
      </c>
      <c r="L107" s="34" t="s">
        <v>76</v>
      </c>
      <c r="M107" s="34" t="s">
        <v>55</v>
      </c>
      <c r="N107" s="35">
        <v>67</v>
      </c>
      <c r="O107" s="35">
        <v>0.78</v>
      </c>
      <c r="P107" s="35">
        <v>0.46</v>
      </c>
      <c r="Q107" s="35">
        <v>0.22</v>
      </c>
      <c r="R107" s="35">
        <v>7.8</v>
      </c>
      <c r="S107" s="35">
        <v>22.6</v>
      </c>
      <c r="T107" s="35">
        <v>7.12</v>
      </c>
      <c r="U107" s="35">
        <v>95.8</v>
      </c>
      <c r="V107" s="35">
        <v>17.100000000000001</v>
      </c>
      <c r="W107" s="35">
        <v>7.0449999999999999</v>
      </c>
      <c r="X107" s="35">
        <v>57</v>
      </c>
      <c r="Y107" s="35">
        <v>582.4</v>
      </c>
    </row>
    <row r="108" spans="1:25" ht="16.5" x14ac:dyDescent="0.3">
      <c r="A108" s="35">
        <v>2020</v>
      </c>
      <c r="B108" s="35" t="s">
        <v>212</v>
      </c>
      <c r="C108" s="55">
        <v>2</v>
      </c>
      <c r="D108" s="33" t="s">
        <v>192</v>
      </c>
      <c r="E108" s="33" t="s">
        <v>193</v>
      </c>
      <c r="F108" s="33" t="s">
        <v>194</v>
      </c>
      <c r="G108" s="33" t="s">
        <v>64</v>
      </c>
      <c r="H108" s="33" t="s">
        <v>65</v>
      </c>
      <c r="I108" s="33" t="s">
        <v>195</v>
      </c>
      <c r="J108" s="33" t="s">
        <v>196</v>
      </c>
      <c r="K108" s="37">
        <v>44159</v>
      </c>
      <c r="L108" s="34" t="s">
        <v>57</v>
      </c>
      <c r="M108" s="34" t="s">
        <v>55</v>
      </c>
      <c r="N108" s="35">
        <v>243</v>
      </c>
      <c r="O108" s="35">
        <v>0.7</v>
      </c>
      <c r="P108" s="35">
        <v>0.3</v>
      </c>
      <c r="Q108" s="35">
        <v>0.1</v>
      </c>
      <c r="R108" s="35">
        <v>1.7</v>
      </c>
      <c r="S108" s="35">
        <v>13.4</v>
      </c>
      <c r="T108" s="35">
        <v>6.11</v>
      </c>
      <c r="U108" s="35">
        <v>87.7</v>
      </c>
      <c r="V108" s="35">
        <v>20</v>
      </c>
      <c r="W108" s="35">
        <v>7.18</v>
      </c>
      <c r="X108" s="35">
        <v>91.9</v>
      </c>
      <c r="Y108" s="35">
        <v>3050</v>
      </c>
    </row>
    <row r="109" spans="1:25" ht="16.5" x14ac:dyDescent="0.3">
      <c r="A109" s="35">
        <v>2021</v>
      </c>
      <c r="B109" s="35" t="s">
        <v>213</v>
      </c>
      <c r="C109" s="55">
        <v>2</v>
      </c>
      <c r="D109" s="33" t="s">
        <v>192</v>
      </c>
      <c r="E109" s="33" t="s">
        <v>193</v>
      </c>
      <c r="F109" s="33" t="s">
        <v>194</v>
      </c>
      <c r="G109" s="33" t="s">
        <v>64</v>
      </c>
      <c r="H109" s="33" t="s">
        <v>65</v>
      </c>
      <c r="I109" s="33" t="s">
        <v>195</v>
      </c>
      <c r="J109" s="33" t="s">
        <v>196</v>
      </c>
      <c r="K109" s="37">
        <v>44389</v>
      </c>
      <c r="L109" s="34" t="s">
        <v>59</v>
      </c>
      <c r="M109" s="34" t="s">
        <v>55</v>
      </c>
      <c r="N109" s="35">
        <v>312</v>
      </c>
      <c r="O109" s="35">
        <v>0.8</v>
      </c>
      <c r="P109" s="35">
        <v>0.4</v>
      </c>
      <c r="Q109" s="35">
        <v>0.2</v>
      </c>
      <c r="R109" s="35">
        <v>6.3</v>
      </c>
      <c r="S109" s="35">
        <v>13</v>
      </c>
      <c r="T109" s="35">
        <v>6.06</v>
      </c>
      <c r="U109" s="35">
        <v>87.7</v>
      </c>
      <c r="V109" s="35">
        <v>21.9</v>
      </c>
      <c r="W109" s="35">
        <v>7.02</v>
      </c>
      <c r="X109" s="35">
        <v>97.1</v>
      </c>
      <c r="Y109" s="35">
        <v>1414.98</v>
      </c>
    </row>
    <row r="110" spans="1:25" ht="16.5" x14ac:dyDescent="0.3">
      <c r="A110" s="35">
        <v>2019</v>
      </c>
      <c r="B110" s="35" t="s">
        <v>214</v>
      </c>
      <c r="C110" s="55">
        <v>2</v>
      </c>
      <c r="D110" s="33" t="s">
        <v>192</v>
      </c>
      <c r="E110" s="33" t="s">
        <v>193</v>
      </c>
      <c r="F110" s="33" t="s">
        <v>194</v>
      </c>
      <c r="G110" s="33" t="s">
        <v>64</v>
      </c>
      <c r="H110" s="33" t="s">
        <v>65</v>
      </c>
      <c r="I110" s="33" t="s">
        <v>195</v>
      </c>
      <c r="J110" s="33" t="s">
        <v>196</v>
      </c>
      <c r="K110" s="37">
        <v>43794</v>
      </c>
      <c r="L110" s="34" t="s">
        <v>57</v>
      </c>
      <c r="M110" s="34" t="s">
        <v>55</v>
      </c>
      <c r="N110" s="35">
        <v>176</v>
      </c>
      <c r="O110" s="35">
        <v>2</v>
      </c>
      <c r="P110" s="35">
        <v>0.9</v>
      </c>
      <c r="Q110" s="35">
        <v>0.4</v>
      </c>
      <c r="R110" s="35">
        <v>7.2</v>
      </c>
      <c r="S110" s="35">
        <v>59.6</v>
      </c>
      <c r="T110" s="35">
        <v>5.18</v>
      </c>
      <c r="U110" s="35">
        <v>74.599999999999994</v>
      </c>
      <c r="V110" s="35">
        <v>20.100000000000001</v>
      </c>
      <c r="W110" s="35">
        <v>7.15</v>
      </c>
      <c r="X110" s="35">
        <v>68.8</v>
      </c>
      <c r="Y110" s="35">
        <v>8908.2000000000007</v>
      </c>
    </row>
    <row r="111" spans="1:25" ht="16.5" x14ac:dyDescent="0.3">
      <c r="A111" s="35">
        <v>2019</v>
      </c>
      <c r="B111" s="35" t="s">
        <v>215</v>
      </c>
      <c r="C111" s="55">
        <v>2</v>
      </c>
      <c r="D111" s="33" t="s">
        <v>216</v>
      </c>
      <c r="E111" s="33" t="s">
        <v>217</v>
      </c>
      <c r="F111" s="33" t="s">
        <v>119</v>
      </c>
      <c r="G111" s="33" t="s">
        <v>218</v>
      </c>
      <c r="H111" s="33" t="s">
        <v>121</v>
      </c>
      <c r="I111" s="33" t="s">
        <v>219</v>
      </c>
      <c r="J111" s="33" t="s">
        <v>220</v>
      </c>
      <c r="K111" s="37">
        <v>43795</v>
      </c>
      <c r="L111" s="34" t="s">
        <v>57</v>
      </c>
      <c r="M111" s="34" t="s">
        <v>55</v>
      </c>
      <c r="N111" s="35">
        <v>172</v>
      </c>
      <c r="O111" s="35">
        <v>0.9</v>
      </c>
      <c r="P111" s="35">
        <v>0.4</v>
      </c>
      <c r="Q111" s="35">
        <v>0.1</v>
      </c>
      <c r="R111" s="35">
        <v>28.3</v>
      </c>
      <c r="S111" s="35">
        <v>57.3</v>
      </c>
      <c r="T111" s="35">
        <v>4.58</v>
      </c>
      <c r="U111" s="35">
        <v>65.400000000000006</v>
      </c>
      <c r="V111" s="35">
        <v>20</v>
      </c>
      <c r="W111" s="35">
        <v>7.24</v>
      </c>
      <c r="X111" s="35">
        <v>150.5</v>
      </c>
      <c r="Y111" s="35">
        <v>942.52</v>
      </c>
    </row>
    <row r="112" spans="1:25" ht="16.5" x14ac:dyDescent="0.3">
      <c r="A112" s="35">
        <v>2020</v>
      </c>
      <c r="B112" s="35" t="s">
        <v>221</v>
      </c>
      <c r="C112" s="55">
        <v>2</v>
      </c>
      <c r="D112" s="33" t="s">
        <v>216</v>
      </c>
      <c r="E112" s="33" t="s">
        <v>217</v>
      </c>
      <c r="F112" s="33" t="s">
        <v>119</v>
      </c>
      <c r="G112" s="33" t="s">
        <v>218</v>
      </c>
      <c r="H112" s="33" t="s">
        <v>121</v>
      </c>
      <c r="I112" s="33" t="s">
        <v>219</v>
      </c>
      <c r="J112" s="33" t="s">
        <v>220</v>
      </c>
      <c r="K112" s="37">
        <v>43886</v>
      </c>
      <c r="L112" s="34" t="s">
        <v>70</v>
      </c>
      <c r="M112" s="34" t="s">
        <v>71</v>
      </c>
      <c r="N112" s="35">
        <v>195</v>
      </c>
      <c r="O112" s="35">
        <v>1.1000000000000001</v>
      </c>
      <c r="P112" s="35">
        <v>0.5</v>
      </c>
      <c r="Q112" s="35">
        <v>0.3</v>
      </c>
      <c r="R112" s="35">
        <v>48.5</v>
      </c>
      <c r="S112" s="35">
        <v>104.4</v>
      </c>
      <c r="T112" s="35">
        <v>1.91</v>
      </c>
      <c r="U112" s="35">
        <v>27.7</v>
      </c>
      <c r="V112" s="35">
        <v>22.1</v>
      </c>
      <c r="W112" s="35">
        <v>7.31</v>
      </c>
      <c r="X112" s="35">
        <v>254</v>
      </c>
      <c r="Y112" s="35">
        <v>549.74</v>
      </c>
    </row>
    <row r="113" spans="1:25" ht="16.5" x14ac:dyDescent="0.3">
      <c r="A113" s="35">
        <v>2020</v>
      </c>
      <c r="B113" s="35" t="s">
        <v>222</v>
      </c>
      <c r="C113" s="55">
        <v>2</v>
      </c>
      <c r="D113" s="33" t="s">
        <v>216</v>
      </c>
      <c r="E113" s="33" t="s">
        <v>217</v>
      </c>
      <c r="F113" s="33" t="s">
        <v>119</v>
      </c>
      <c r="G113" s="33" t="s">
        <v>218</v>
      </c>
      <c r="H113" s="33" t="s">
        <v>121</v>
      </c>
      <c r="I113" s="33" t="s">
        <v>219</v>
      </c>
      <c r="J113" s="33" t="s">
        <v>220</v>
      </c>
      <c r="K113" s="37">
        <v>44067</v>
      </c>
      <c r="L113" s="34" t="s">
        <v>54</v>
      </c>
      <c r="M113" s="34" t="s">
        <v>55</v>
      </c>
      <c r="N113" s="35">
        <v>216</v>
      </c>
      <c r="O113" s="35">
        <v>0.4</v>
      </c>
      <c r="P113" s="35">
        <v>0.1</v>
      </c>
      <c r="Q113" s="35">
        <v>0.1</v>
      </c>
      <c r="R113" s="35">
        <v>7.2</v>
      </c>
      <c r="S113" s="35">
        <v>31.8</v>
      </c>
      <c r="T113" s="35">
        <v>6.61</v>
      </c>
      <c r="U113" s="35">
        <v>92.1</v>
      </c>
      <c r="V113" s="35">
        <v>19.100000000000001</v>
      </c>
      <c r="W113" s="35">
        <v>7.26</v>
      </c>
      <c r="X113" s="35">
        <v>93.9</v>
      </c>
      <c r="Y113" s="35">
        <v>2007</v>
      </c>
    </row>
    <row r="114" spans="1:25" ht="16.5" x14ac:dyDescent="0.3">
      <c r="A114" s="35">
        <v>2020</v>
      </c>
      <c r="B114" s="35" t="s">
        <v>223</v>
      </c>
      <c r="C114" s="55">
        <v>2</v>
      </c>
      <c r="D114" s="33" t="s">
        <v>216</v>
      </c>
      <c r="E114" s="33" t="s">
        <v>217</v>
      </c>
      <c r="F114" s="33" t="s">
        <v>119</v>
      </c>
      <c r="G114" s="33" t="s">
        <v>218</v>
      </c>
      <c r="H114" s="33" t="s">
        <v>121</v>
      </c>
      <c r="I114" s="33" t="s">
        <v>219</v>
      </c>
      <c r="J114" s="33" t="s">
        <v>220</v>
      </c>
      <c r="K114" s="37">
        <v>44158</v>
      </c>
      <c r="L114" s="34" t="s">
        <v>57</v>
      </c>
      <c r="M114" s="34" t="s">
        <v>55</v>
      </c>
      <c r="N114" s="35">
        <v>239</v>
      </c>
      <c r="O114" s="35">
        <v>0.7</v>
      </c>
      <c r="P114" s="35">
        <v>0.3</v>
      </c>
      <c r="Q114" s="35">
        <v>0.2</v>
      </c>
      <c r="R114" s="35">
        <v>14.7</v>
      </c>
      <c r="S114" s="35">
        <v>49.4</v>
      </c>
      <c r="T114" s="35">
        <v>6.12</v>
      </c>
      <c r="U114" s="35">
        <v>85.1</v>
      </c>
      <c r="V114" s="35">
        <v>19</v>
      </c>
      <c r="W114" s="35">
        <v>7.06</v>
      </c>
      <c r="X114" s="35">
        <v>130.5</v>
      </c>
      <c r="Y114" s="35">
        <v>967.65</v>
      </c>
    </row>
    <row r="115" spans="1:25" ht="16.5" x14ac:dyDescent="0.3">
      <c r="A115" s="1">
        <v>2024</v>
      </c>
      <c r="B115" s="1" t="s">
        <v>224</v>
      </c>
      <c r="C115" s="1">
        <v>6</v>
      </c>
      <c r="D115" t="s">
        <v>225</v>
      </c>
      <c r="E115" t="s">
        <v>226</v>
      </c>
      <c r="F115" t="s">
        <v>94</v>
      </c>
      <c r="G115" t="s">
        <v>95</v>
      </c>
      <c r="H115" t="s">
        <v>51</v>
      </c>
      <c r="I115" t="s">
        <v>227</v>
      </c>
      <c r="J115" t="s">
        <v>228</v>
      </c>
      <c r="K115" s="41">
        <v>45349</v>
      </c>
      <c r="L115" s="34" t="s">
        <v>70</v>
      </c>
      <c r="M115" s="1" t="s">
        <v>71</v>
      </c>
      <c r="O115" s="1">
        <v>0.66</v>
      </c>
      <c r="P115" s="1">
        <v>0.26</v>
      </c>
      <c r="Q115" s="1">
        <v>0.14000000000000001</v>
      </c>
      <c r="R115" s="1">
        <v>2.9</v>
      </c>
      <c r="S115" s="1">
        <v>6.7</v>
      </c>
      <c r="T115" s="1">
        <v>4.5049999999999999</v>
      </c>
      <c r="U115" s="1">
        <v>63.5</v>
      </c>
      <c r="V115" s="1">
        <v>19.399999999999999</v>
      </c>
      <c r="W115" s="1">
        <v>6.8849999999999998</v>
      </c>
      <c r="X115" s="1">
        <v>166.85</v>
      </c>
      <c r="Y115" s="1" t="s">
        <v>88</v>
      </c>
    </row>
    <row r="116" spans="1:25" ht="16.5" x14ac:dyDescent="0.3">
      <c r="A116" s="1">
        <v>2024</v>
      </c>
      <c r="B116" s="1" t="s">
        <v>229</v>
      </c>
      <c r="C116" s="1">
        <v>6</v>
      </c>
      <c r="D116" t="s">
        <v>225</v>
      </c>
      <c r="E116" t="s">
        <v>226</v>
      </c>
      <c r="F116" t="s">
        <v>94</v>
      </c>
      <c r="G116" t="s">
        <v>95</v>
      </c>
      <c r="H116" t="s">
        <v>51</v>
      </c>
      <c r="I116" t="s">
        <v>227</v>
      </c>
      <c r="J116" t="s">
        <v>228</v>
      </c>
      <c r="K116" s="41">
        <v>45461</v>
      </c>
      <c r="L116" s="34" t="s">
        <v>76</v>
      </c>
      <c r="M116" s="34" t="s">
        <v>55</v>
      </c>
      <c r="O116" s="1">
        <v>0.62</v>
      </c>
      <c r="P116" s="1">
        <v>0.3</v>
      </c>
      <c r="Q116" s="1">
        <v>0.18</v>
      </c>
      <c r="R116" s="1">
        <v>1.8</v>
      </c>
      <c r="S116" s="1">
        <v>21.9</v>
      </c>
      <c r="T116" s="1">
        <v>6.4700000000000006</v>
      </c>
      <c r="U116" s="1">
        <v>87.9</v>
      </c>
      <c r="V116" s="1">
        <v>18.3</v>
      </c>
      <c r="W116" s="1">
        <v>7.7649999999999997</v>
      </c>
      <c r="X116" s="1">
        <v>63.05</v>
      </c>
      <c r="Y116" s="1" t="s">
        <v>88</v>
      </c>
    </row>
    <row r="117" spans="1:25" ht="16.5" x14ac:dyDescent="0.3">
      <c r="A117" s="1">
        <v>2024</v>
      </c>
      <c r="B117" s="1" t="s">
        <v>230</v>
      </c>
      <c r="C117" s="1">
        <v>6</v>
      </c>
      <c r="D117" t="s">
        <v>225</v>
      </c>
      <c r="E117" t="s">
        <v>226</v>
      </c>
      <c r="F117" t="s">
        <v>94</v>
      </c>
      <c r="G117" t="s">
        <v>95</v>
      </c>
      <c r="H117" t="s">
        <v>51</v>
      </c>
      <c r="I117" t="s">
        <v>227</v>
      </c>
      <c r="J117" t="s">
        <v>228</v>
      </c>
      <c r="K117" s="41">
        <v>45622</v>
      </c>
      <c r="L117" s="34" t="s">
        <v>57</v>
      </c>
      <c r="M117" s="1" t="s">
        <v>55</v>
      </c>
      <c r="O117" s="1">
        <v>2.2000000000000002</v>
      </c>
      <c r="P117" s="1">
        <v>1.7</v>
      </c>
      <c r="Q117" s="1">
        <v>1.6</v>
      </c>
      <c r="R117" s="1">
        <v>1.5</v>
      </c>
      <c r="S117" s="1">
        <v>13</v>
      </c>
      <c r="T117" s="1">
        <v>6.55</v>
      </c>
      <c r="U117" s="1">
        <v>87.4</v>
      </c>
      <c r="V117" s="1">
        <v>17.600000000000001</v>
      </c>
      <c r="W117" s="1">
        <v>6.7249999999999996</v>
      </c>
      <c r="X117" s="1">
        <v>79.800000000000011</v>
      </c>
      <c r="Y117" s="1" t="s">
        <v>88</v>
      </c>
    </row>
    <row r="118" spans="1:25" ht="16.5" x14ac:dyDescent="0.3">
      <c r="A118" s="35">
        <v>2021</v>
      </c>
      <c r="B118" s="35" t="s">
        <v>231</v>
      </c>
      <c r="C118" s="55">
        <v>6</v>
      </c>
      <c r="D118" s="33" t="s">
        <v>225</v>
      </c>
      <c r="E118" s="33" t="s">
        <v>226</v>
      </c>
      <c r="F118" s="33" t="s">
        <v>94</v>
      </c>
      <c r="G118" s="33" t="s">
        <v>95</v>
      </c>
      <c r="H118" s="33" t="s">
        <v>51</v>
      </c>
      <c r="I118" s="33" t="s">
        <v>227</v>
      </c>
      <c r="J118" s="33" t="s">
        <v>228</v>
      </c>
      <c r="K118" s="37">
        <v>44389</v>
      </c>
      <c r="L118" s="34" t="s">
        <v>59</v>
      </c>
      <c r="M118" s="34" t="s">
        <v>55</v>
      </c>
      <c r="N118" s="35">
        <v>300</v>
      </c>
      <c r="O118" s="35">
        <v>0.4</v>
      </c>
      <c r="P118" s="35">
        <v>0.2</v>
      </c>
      <c r="Q118" s="35">
        <v>0.1</v>
      </c>
      <c r="R118" s="35">
        <v>3.8</v>
      </c>
      <c r="S118" s="35">
        <v>2.5</v>
      </c>
      <c r="T118" s="35">
        <v>6.15</v>
      </c>
      <c r="U118" s="35">
        <v>84.3</v>
      </c>
      <c r="V118" s="35">
        <v>17.5</v>
      </c>
      <c r="W118" s="35">
        <v>6.35</v>
      </c>
      <c r="X118" s="35">
        <v>61.6</v>
      </c>
      <c r="Y118" s="35">
        <v>2771.17</v>
      </c>
    </row>
    <row r="119" spans="1:25" ht="16.5" x14ac:dyDescent="0.3">
      <c r="A119" s="35">
        <v>2019</v>
      </c>
      <c r="B119" s="35" t="s">
        <v>232</v>
      </c>
      <c r="C119" s="55">
        <v>6</v>
      </c>
      <c r="D119" s="33" t="s">
        <v>225</v>
      </c>
      <c r="E119" s="33" t="s">
        <v>226</v>
      </c>
      <c r="F119" s="33" t="s">
        <v>94</v>
      </c>
      <c r="G119" s="33" t="s">
        <v>95</v>
      </c>
      <c r="H119" s="33" t="s">
        <v>51</v>
      </c>
      <c r="I119" s="33" t="s">
        <v>227</v>
      </c>
      <c r="J119" s="33" t="s">
        <v>228</v>
      </c>
      <c r="K119" s="37">
        <v>43794</v>
      </c>
      <c r="L119" s="34" t="s">
        <v>57</v>
      </c>
      <c r="M119" s="34" t="s">
        <v>55</v>
      </c>
      <c r="N119" s="35">
        <v>164</v>
      </c>
      <c r="O119" s="35">
        <v>0.3</v>
      </c>
      <c r="P119" s="35">
        <v>0.1</v>
      </c>
      <c r="Q119" s="35">
        <v>0.1</v>
      </c>
      <c r="R119" s="35">
        <v>1.3</v>
      </c>
      <c r="S119" s="35">
        <v>11.9</v>
      </c>
      <c r="T119" s="35">
        <v>6.43</v>
      </c>
      <c r="U119" s="35">
        <v>89.6</v>
      </c>
      <c r="V119" s="35">
        <v>18.7</v>
      </c>
      <c r="W119" s="35">
        <v>7.15</v>
      </c>
      <c r="X119" s="35">
        <v>52.6</v>
      </c>
      <c r="Y119" s="35">
        <v>7924.21</v>
      </c>
    </row>
    <row r="120" spans="1:25" ht="16.5" x14ac:dyDescent="0.3">
      <c r="A120" s="35">
        <v>2020</v>
      </c>
      <c r="B120" s="35" t="s">
        <v>233</v>
      </c>
      <c r="C120" s="55">
        <v>6</v>
      </c>
      <c r="D120" s="33" t="s">
        <v>225</v>
      </c>
      <c r="E120" s="33" t="s">
        <v>226</v>
      </c>
      <c r="F120" s="33" t="s">
        <v>94</v>
      </c>
      <c r="G120" s="33" t="s">
        <v>95</v>
      </c>
      <c r="H120" s="33" t="s">
        <v>51</v>
      </c>
      <c r="I120" s="33" t="s">
        <v>227</v>
      </c>
      <c r="J120" s="33" t="s">
        <v>228</v>
      </c>
      <c r="K120" s="37">
        <v>43885</v>
      </c>
      <c r="L120" s="34" t="s">
        <v>70</v>
      </c>
      <c r="M120" s="34" t="s">
        <v>71</v>
      </c>
      <c r="N120" s="35">
        <v>187</v>
      </c>
      <c r="O120" s="35">
        <v>0.3</v>
      </c>
      <c r="P120" s="35">
        <v>0.1</v>
      </c>
      <c r="Q120" s="35">
        <v>0.1</v>
      </c>
      <c r="R120" s="35">
        <v>3.1</v>
      </c>
      <c r="S120" s="35">
        <v>22.5</v>
      </c>
      <c r="T120" s="35">
        <v>6.05</v>
      </c>
      <c r="U120" s="35">
        <v>82.8</v>
      </c>
      <c r="V120" s="35">
        <v>18.399999999999999</v>
      </c>
      <c r="W120" s="35">
        <v>7.2</v>
      </c>
      <c r="X120" s="35">
        <v>47.6</v>
      </c>
      <c r="Y120" s="35">
        <v>1185.32</v>
      </c>
    </row>
    <row r="121" spans="1:25" ht="16.5" x14ac:dyDescent="0.3">
      <c r="A121" s="35">
        <v>2020</v>
      </c>
      <c r="B121" s="35" t="s">
        <v>234</v>
      </c>
      <c r="C121" s="55">
        <v>6</v>
      </c>
      <c r="D121" s="33" t="s">
        <v>225</v>
      </c>
      <c r="E121" s="33" t="s">
        <v>226</v>
      </c>
      <c r="F121" s="33" t="s">
        <v>94</v>
      </c>
      <c r="G121" s="33" t="s">
        <v>95</v>
      </c>
      <c r="H121" s="33" t="s">
        <v>51</v>
      </c>
      <c r="I121" s="33" t="s">
        <v>227</v>
      </c>
      <c r="J121" s="33" t="s">
        <v>228</v>
      </c>
      <c r="K121" s="37">
        <v>44067</v>
      </c>
      <c r="L121" s="34" t="s">
        <v>54</v>
      </c>
      <c r="M121" s="34" t="s">
        <v>55</v>
      </c>
      <c r="N121" s="35">
        <v>210</v>
      </c>
      <c r="O121" s="35">
        <v>0.8</v>
      </c>
      <c r="P121" s="35">
        <v>0.2</v>
      </c>
      <c r="Q121" s="35">
        <v>0.1</v>
      </c>
      <c r="R121" s="35">
        <v>2.6</v>
      </c>
      <c r="S121" s="35">
        <v>24.9</v>
      </c>
      <c r="T121" s="35">
        <v>5.76</v>
      </c>
      <c r="U121" s="35">
        <v>80.5</v>
      </c>
      <c r="V121" s="35">
        <v>18.7</v>
      </c>
      <c r="W121" s="35">
        <v>6.18</v>
      </c>
      <c r="X121" s="35">
        <v>62.3</v>
      </c>
      <c r="Y121" s="35">
        <v>11140</v>
      </c>
    </row>
    <row r="122" spans="1:25" ht="16.5" x14ac:dyDescent="0.3">
      <c r="A122" s="35">
        <v>2020</v>
      </c>
      <c r="B122" s="35" t="s">
        <v>235</v>
      </c>
      <c r="C122" s="55">
        <v>6</v>
      </c>
      <c r="D122" s="33" t="s">
        <v>225</v>
      </c>
      <c r="E122" s="33" t="s">
        <v>226</v>
      </c>
      <c r="F122" s="33" t="s">
        <v>94</v>
      </c>
      <c r="G122" s="33" t="s">
        <v>95</v>
      </c>
      <c r="H122" s="33" t="s">
        <v>51</v>
      </c>
      <c r="I122" s="33" t="s">
        <v>227</v>
      </c>
      <c r="J122" s="33" t="s">
        <v>228</v>
      </c>
      <c r="K122" s="37">
        <v>44158</v>
      </c>
      <c r="L122" s="34" t="s">
        <v>57</v>
      </c>
      <c r="M122" s="34" t="s">
        <v>55</v>
      </c>
      <c r="N122" s="35">
        <v>231</v>
      </c>
      <c r="O122" s="35">
        <v>0.7</v>
      </c>
      <c r="P122" s="35">
        <v>0.3</v>
      </c>
      <c r="Q122" s="35">
        <v>0.2</v>
      </c>
      <c r="R122" s="35">
        <v>2.1</v>
      </c>
      <c r="S122" s="35">
        <v>10</v>
      </c>
      <c r="T122" s="35">
        <v>6.37</v>
      </c>
      <c r="U122" s="35">
        <v>86.8</v>
      </c>
      <c r="V122" s="35">
        <v>18.3</v>
      </c>
      <c r="W122" s="35">
        <v>6.83</v>
      </c>
      <c r="X122" s="35">
        <v>60.5</v>
      </c>
      <c r="Y122" s="35">
        <v>11570</v>
      </c>
    </row>
    <row r="123" spans="1:25" ht="16.5" x14ac:dyDescent="0.3">
      <c r="A123" s="35">
        <v>2022</v>
      </c>
      <c r="B123" s="35" t="s">
        <v>236</v>
      </c>
      <c r="C123" s="55">
        <v>2</v>
      </c>
      <c r="D123" s="33" t="s">
        <v>181</v>
      </c>
      <c r="E123" s="33" t="s">
        <v>182</v>
      </c>
      <c r="F123" s="33" t="s">
        <v>101</v>
      </c>
      <c r="G123" s="33" t="s">
        <v>183</v>
      </c>
      <c r="H123" s="33" t="s">
        <v>103</v>
      </c>
      <c r="I123" s="33" t="s">
        <v>184</v>
      </c>
      <c r="J123" s="33" t="s">
        <v>185</v>
      </c>
      <c r="K123" s="37">
        <v>44888</v>
      </c>
      <c r="L123" s="34" t="s">
        <v>57</v>
      </c>
      <c r="M123" s="34" t="s">
        <v>55</v>
      </c>
      <c r="N123" s="35">
        <v>80</v>
      </c>
      <c r="O123" s="35">
        <v>0.64</v>
      </c>
      <c r="P123" s="35">
        <v>0.28000000000000003</v>
      </c>
      <c r="Q123" s="35">
        <v>0.14000000000000001</v>
      </c>
      <c r="R123" s="35">
        <v>3.1</v>
      </c>
      <c r="S123" s="35">
        <v>2.4</v>
      </c>
      <c r="T123" s="35">
        <v>7.43</v>
      </c>
      <c r="U123" s="35">
        <v>103.75</v>
      </c>
      <c r="V123" s="35">
        <v>18.2</v>
      </c>
      <c r="W123" s="35">
        <v>6.83</v>
      </c>
      <c r="X123" s="35">
        <v>52.05</v>
      </c>
      <c r="Y123" s="35">
        <v>2185.9</v>
      </c>
    </row>
    <row r="124" spans="1:25" ht="16.5" x14ac:dyDescent="0.3">
      <c r="A124" s="35">
        <v>2023</v>
      </c>
      <c r="B124" s="35" t="s">
        <v>237</v>
      </c>
      <c r="C124" s="55">
        <v>2</v>
      </c>
      <c r="D124" s="33" t="s">
        <v>181</v>
      </c>
      <c r="E124" s="33" t="s">
        <v>182</v>
      </c>
      <c r="F124" s="33" t="s">
        <v>101</v>
      </c>
      <c r="G124" s="33" t="s">
        <v>183</v>
      </c>
      <c r="H124" s="33" t="s">
        <v>103</v>
      </c>
      <c r="I124" s="33" t="s">
        <v>184</v>
      </c>
      <c r="J124" s="33" t="s">
        <v>185</v>
      </c>
      <c r="K124" s="37">
        <v>44986</v>
      </c>
      <c r="L124" s="34" t="s">
        <v>130</v>
      </c>
      <c r="M124" s="34" t="s">
        <v>71</v>
      </c>
      <c r="N124" s="35">
        <v>19</v>
      </c>
      <c r="O124" s="35">
        <v>0.24</v>
      </c>
      <c r="P124" s="35">
        <v>0.08</v>
      </c>
      <c r="Q124" s="35">
        <v>0.02</v>
      </c>
      <c r="R124" s="35" t="s">
        <v>238</v>
      </c>
      <c r="S124" s="35">
        <v>22.2</v>
      </c>
      <c r="T124" s="35">
        <v>7.05</v>
      </c>
      <c r="U124" s="35">
        <v>93.85</v>
      </c>
      <c r="V124" s="35">
        <v>16.2</v>
      </c>
      <c r="W124" s="35">
        <v>6.7649999999999997</v>
      </c>
      <c r="X124" s="35">
        <v>68.150000000000006</v>
      </c>
      <c r="Y124" s="35">
        <v>299.8</v>
      </c>
    </row>
    <row r="125" spans="1:25" ht="16.5" x14ac:dyDescent="0.3">
      <c r="A125" s="35">
        <v>2023</v>
      </c>
      <c r="B125" s="35" t="s">
        <v>239</v>
      </c>
      <c r="C125" s="55">
        <v>2</v>
      </c>
      <c r="D125" s="33" t="s">
        <v>181</v>
      </c>
      <c r="E125" s="33" t="s">
        <v>182</v>
      </c>
      <c r="F125" s="33" t="s">
        <v>101</v>
      </c>
      <c r="G125" s="33" t="s">
        <v>183</v>
      </c>
      <c r="H125" s="33" t="s">
        <v>103</v>
      </c>
      <c r="I125" s="33" t="s">
        <v>184</v>
      </c>
      <c r="J125" s="33" t="s">
        <v>185</v>
      </c>
      <c r="K125" s="37">
        <v>45056</v>
      </c>
      <c r="L125" s="34" t="s">
        <v>85</v>
      </c>
      <c r="M125" s="34" t="s">
        <v>55</v>
      </c>
      <c r="N125" s="35">
        <v>32</v>
      </c>
      <c r="O125" s="35">
        <v>0.28000000000000003</v>
      </c>
      <c r="P125" s="35">
        <v>0.1</v>
      </c>
      <c r="Q125" s="35">
        <v>0.04</v>
      </c>
      <c r="R125" s="35">
        <v>0.9</v>
      </c>
      <c r="S125" s="35">
        <v>0.1</v>
      </c>
      <c r="T125" s="35">
        <v>7.44</v>
      </c>
      <c r="U125" s="35">
        <v>99.75</v>
      </c>
      <c r="V125" s="35">
        <v>17</v>
      </c>
      <c r="W125" s="35">
        <v>6.8949999999999996</v>
      </c>
      <c r="X125" s="35">
        <v>68.599999999999994</v>
      </c>
      <c r="Y125" s="35">
        <v>269.5</v>
      </c>
    </row>
    <row r="126" spans="1:25" ht="16.5" x14ac:dyDescent="0.3">
      <c r="A126" s="35">
        <v>2023</v>
      </c>
      <c r="B126" s="35" t="s">
        <v>240</v>
      </c>
      <c r="C126" s="55">
        <v>2</v>
      </c>
      <c r="D126" s="33" t="s">
        <v>181</v>
      </c>
      <c r="E126" s="33" t="s">
        <v>182</v>
      </c>
      <c r="F126" s="33" t="s">
        <v>101</v>
      </c>
      <c r="G126" s="33" t="s">
        <v>183</v>
      </c>
      <c r="H126" s="33" t="s">
        <v>103</v>
      </c>
      <c r="I126" s="33" t="s">
        <v>184</v>
      </c>
      <c r="J126" s="33" t="s">
        <v>185</v>
      </c>
      <c r="K126" s="37">
        <v>45251</v>
      </c>
      <c r="L126" s="34" t="s">
        <v>57</v>
      </c>
      <c r="M126" s="34" t="s">
        <v>55</v>
      </c>
      <c r="N126" s="35">
        <v>41</v>
      </c>
      <c r="O126" s="35">
        <v>0.24</v>
      </c>
      <c r="P126" s="35">
        <v>0.12</v>
      </c>
      <c r="Q126" s="35">
        <v>0.1</v>
      </c>
      <c r="R126" s="35">
        <v>2.2999999999999998</v>
      </c>
      <c r="S126" s="35">
        <v>0</v>
      </c>
      <c r="T126" s="35">
        <v>7.23</v>
      </c>
      <c r="U126" s="35">
        <v>98.1</v>
      </c>
      <c r="V126" s="35">
        <v>17.2</v>
      </c>
      <c r="W126" s="35">
        <v>7.3650000000000002</v>
      </c>
      <c r="X126" s="35">
        <v>53</v>
      </c>
      <c r="Y126" s="35">
        <v>446.4</v>
      </c>
    </row>
    <row r="127" spans="1:25" ht="16.5" x14ac:dyDescent="0.3">
      <c r="A127" s="35">
        <v>2024</v>
      </c>
      <c r="B127" s="35" t="s">
        <v>241</v>
      </c>
      <c r="C127" s="55">
        <v>2</v>
      </c>
      <c r="D127" s="33" t="s">
        <v>181</v>
      </c>
      <c r="E127" s="33" t="s">
        <v>182</v>
      </c>
      <c r="F127" s="33" t="s">
        <v>101</v>
      </c>
      <c r="G127" s="33" t="s">
        <v>183</v>
      </c>
      <c r="H127" s="33" t="s">
        <v>103</v>
      </c>
      <c r="I127" s="33" t="s">
        <v>184</v>
      </c>
      <c r="J127" s="33" t="s">
        <v>185</v>
      </c>
      <c r="K127" s="37">
        <v>45349</v>
      </c>
      <c r="L127" s="34" t="s">
        <v>70</v>
      </c>
      <c r="M127" s="34" t="s">
        <v>71</v>
      </c>
      <c r="N127" s="35">
        <v>2</v>
      </c>
      <c r="O127" s="35">
        <v>0.57999999999999996</v>
      </c>
      <c r="P127" s="35">
        <v>0.3</v>
      </c>
      <c r="Q127" s="35">
        <v>0.18</v>
      </c>
      <c r="R127" s="35">
        <v>2.4</v>
      </c>
      <c r="S127" s="35">
        <v>4.2</v>
      </c>
      <c r="T127" s="35">
        <v>6.5250000000000004</v>
      </c>
      <c r="U127" s="35">
        <v>92.3</v>
      </c>
      <c r="V127" s="35">
        <v>18.8</v>
      </c>
      <c r="W127" s="35">
        <v>6.7</v>
      </c>
      <c r="X127" s="35">
        <v>86.3</v>
      </c>
      <c r="Y127" s="35">
        <v>128.4</v>
      </c>
    </row>
    <row r="128" spans="1:25" ht="16.5" x14ac:dyDescent="0.3">
      <c r="A128" s="35">
        <v>2020</v>
      </c>
      <c r="B128" s="35" t="s">
        <v>242</v>
      </c>
      <c r="C128" s="55">
        <v>2</v>
      </c>
      <c r="D128" s="33" t="s">
        <v>192</v>
      </c>
      <c r="E128" s="33" t="s">
        <v>193</v>
      </c>
      <c r="F128" s="33" t="s">
        <v>194</v>
      </c>
      <c r="G128" s="33" t="s">
        <v>64</v>
      </c>
      <c r="H128" s="33" t="s">
        <v>65</v>
      </c>
      <c r="I128" s="33" t="s">
        <v>195</v>
      </c>
      <c r="J128" s="33" t="s">
        <v>196</v>
      </c>
      <c r="K128" s="37">
        <v>43885</v>
      </c>
      <c r="L128" s="34" t="s">
        <v>70</v>
      </c>
      <c r="M128" s="34" t="s">
        <v>71</v>
      </c>
      <c r="N128" s="35">
        <v>199</v>
      </c>
      <c r="O128" s="35">
        <v>0.7</v>
      </c>
      <c r="P128" s="35">
        <v>0.3</v>
      </c>
      <c r="Q128" s="35">
        <v>0.2</v>
      </c>
      <c r="R128" s="35">
        <v>5.9</v>
      </c>
      <c r="S128" s="35">
        <v>33</v>
      </c>
      <c r="T128" s="35">
        <v>5.32</v>
      </c>
      <c r="U128" s="35">
        <v>76.5</v>
      </c>
      <c r="V128" s="35">
        <v>20.7</v>
      </c>
      <c r="W128" s="35">
        <v>7.36</v>
      </c>
      <c r="X128" s="35">
        <v>126.4</v>
      </c>
      <c r="Y128" s="35">
        <v>1299.97</v>
      </c>
    </row>
    <row r="129" spans="1:25" ht="16.5" x14ac:dyDescent="0.3">
      <c r="A129" s="35">
        <v>2021</v>
      </c>
      <c r="B129" s="35" t="s">
        <v>243</v>
      </c>
      <c r="C129" s="55">
        <v>2</v>
      </c>
      <c r="D129" s="33" t="s">
        <v>192</v>
      </c>
      <c r="E129" s="33" t="s">
        <v>193</v>
      </c>
      <c r="F129" s="33" t="s">
        <v>194</v>
      </c>
      <c r="G129" s="33" t="s">
        <v>64</v>
      </c>
      <c r="H129" s="33" t="s">
        <v>65</v>
      </c>
      <c r="I129" s="33" t="s">
        <v>195</v>
      </c>
      <c r="J129" s="33" t="s">
        <v>196</v>
      </c>
      <c r="K129" s="37">
        <v>44229</v>
      </c>
      <c r="L129" s="34" t="s">
        <v>70</v>
      </c>
      <c r="M129" s="34" t="s">
        <v>71</v>
      </c>
      <c r="N129" s="35">
        <v>266</v>
      </c>
      <c r="O129" s="35">
        <v>0.64</v>
      </c>
      <c r="P129" s="35">
        <v>0.24</v>
      </c>
      <c r="Q129" s="35">
        <v>0.12</v>
      </c>
      <c r="R129" s="35">
        <v>9.6</v>
      </c>
      <c r="S129" s="35">
        <v>17.899999999999999</v>
      </c>
      <c r="T129" s="35">
        <v>5.18</v>
      </c>
      <c r="U129" s="35">
        <v>73.3</v>
      </c>
      <c r="V129" s="35">
        <v>20.9</v>
      </c>
      <c r="W129" s="35">
        <v>7.21</v>
      </c>
      <c r="X129" s="35">
        <v>101</v>
      </c>
      <c r="Y129" s="35">
        <v>1297.3800000000001</v>
      </c>
    </row>
    <row r="130" spans="1:25" ht="16.5" x14ac:dyDescent="0.3">
      <c r="A130" s="35">
        <v>2021</v>
      </c>
      <c r="B130" s="35" t="s">
        <v>244</v>
      </c>
      <c r="C130" s="55">
        <v>2</v>
      </c>
      <c r="D130" s="33" t="s">
        <v>192</v>
      </c>
      <c r="E130" s="33" t="s">
        <v>193</v>
      </c>
      <c r="F130" s="33" t="s">
        <v>194</v>
      </c>
      <c r="G130" s="33" t="s">
        <v>64</v>
      </c>
      <c r="H130" s="33" t="s">
        <v>65</v>
      </c>
      <c r="I130" s="33" t="s">
        <v>195</v>
      </c>
      <c r="J130" s="33" t="s">
        <v>196</v>
      </c>
      <c r="K130" s="37">
        <v>44529</v>
      </c>
      <c r="L130" s="34" t="s">
        <v>57</v>
      </c>
      <c r="M130" s="34" t="s">
        <v>55</v>
      </c>
      <c r="N130" s="35">
        <v>289</v>
      </c>
      <c r="O130" s="35">
        <v>1.3</v>
      </c>
      <c r="P130" s="35">
        <v>0.7</v>
      </c>
      <c r="Q130" s="35">
        <v>0.5</v>
      </c>
      <c r="R130" s="35">
        <v>2.4</v>
      </c>
      <c r="S130" s="35">
        <v>22.6</v>
      </c>
      <c r="T130" s="35">
        <v>5.36</v>
      </c>
      <c r="U130" s="35">
        <v>76.8</v>
      </c>
      <c r="V130" s="35">
        <v>20</v>
      </c>
      <c r="W130" s="35">
        <v>6.93</v>
      </c>
      <c r="X130" s="35">
        <v>108.5</v>
      </c>
      <c r="Y130" s="35" t="s">
        <v>88</v>
      </c>
    </row>
    <row r="131" spans="1:25" ht="16.5" x14ac:dyDescent="0.3">
      <c r="A131" s="35">
        <v>2022</v>
      </c>
      <c r="B131" s="35" t="s">
        <v>245</v>
      </c>
      <c r="C131" s="55">
        <v>2</v>
      </c>
      <c r="D131" s="33" t="s">
        <v>192</v>
      </c>
      <c r="E131" s="33" t="s">
        <v>193</v>
      </c>
      <c r="F131" s="33" t="s">
        <v>194</v>
      </c>
      <c r="G131" s="33" t="s">
        <v>64</v>
      </c>
      <c r="H131" s="33" t="s">
        <v>65</v>
      </c>
      <c r="I131" s="33" t="s">
        <v>195</v>
      </c>
      <c r="J131" s="33" t="s">
        <v>196</v>
      </c>
      <c r="K131" s="37">
        <v>44621</v>
      </c>
      <c r="L131" s="34" t="s">
        <v>130</v>
      </c>
      <c r="M131" s="34" t="s">
        <v>71</v>
      </c>
      <c r="N131" s="35">
        <v>59</v>
      </c>
      <c r="O131" s="35">
        <v>0.76</v>
      </c>
      <c r="P131" s="35">
        <v>0.32</v>
      </c>
      <c r="Q131" s="35">
        <v>0.16</v>
      </c>
      <c r="R131" s="35">
        <v>6.8</v>
      </c>
      <c r="S131" s="35">
        <v>23.7</v>
      </c>
      <c r="T131" s="35">
        <v>5.01</v>
      </c>
      <c r="U131" s="35">
        <v>69.05</v>
      </c>
      <c r="V131" s="35">
        <v>18.8</v>
      </c>
      <c r="W131" s="35">
        <v>7.1550000000000002</v>
      </c>
      <c r="X131" s="35">
        <v>106.6</v>
      </c>
      <c r="Y131" s="35">
        <v>2609.4</v>
      </c>
    </row>
    <row r="132" spans="1:25" ht="16.5" x14ac:dyDescent="0.3">
      <c r="A132" s="35">
        <v>2021</v>
      </c>
      <c r="B132" s="35" t="s">
        <v>246</v>
      </c>
      <c r="C132" s="55">
        <v>6</v>
      </c>
      <c r="D132" s="33" t="s">
        <v>225</v>
      </c>
      <c r="E132" s="33" t="s">
        <v>226</v>
      </c>
      <c r="F132" s="33" t="s">
        <v>94</v>
      </c>
      <c r="G132" s="33" t="s">
        <v>95</v>
      </c>
      <c r="H132" s="33" t="s">
        <v>51</v>
      </c>
      <c r="I132" s="33" t="s">
        <v>227</v>
      </c>
      <c r="J132" s="33" t="s">
        <v>228</v>
      </c>
      <c r="K132" s="37">
        <v>44228</v>
      </c>
      <c r="L132" s="34" t="s">
        <v>70</v>
      </c>
      <c r="M132" s="34" t="s">
        <v>71</v>
      </c>
      <c r="N132" s="35">
        <v>254</v>
      </c>
      <c r="O132" s="35">
        <v>0.7</v>
      </c>
      <c r="P132" s="35">
        <v>0.3</v>
      </c>
      <c r="Q132" s="35">
        <v>0.18</v>
      </c>
      <c r="R132" s="35">
        <v>1.3</v>
      </c>
      <c r="S132" s="35">
        <v>10</v>
      </c>
      <c r="T132" s="35">
        <v>6.42</v>
      </c>
      <c r="U132" s="35">
        <v>91.2</v>
      </c>
      <c r="V132" s="35">
        <v>19.899999999999999</v>
      </c>
      <c r="W132" s="35">
        <v>6.67</v>
      </c>
      <c r="X132" s="35">
        <v>87.4</v>
      </c>
      <c r="Y132" s="35">
        <v>1112.5999999999999</v>
      </c>
    </row>
    <row r="133" spans="1:25" ht="16.5" x14ac:dyDescent="0.3">
      <c r="A133" s="35">
        <v>2021</v>
      </c>
      <c r="B133" s="35" t="s">
        <v>247</v>
      </c>
      <c r="C133" s="55">
        <v>6</v>
      </c>
      <c r="D133" s="33" t="s">
        <v>225</v>
      </c>
      <c r="E133" s="33" t="s">
        <v>226</v>
      </c>
      <c r="F133" s="33" t="s">
        <v>94</v>
      </c>
      <c r="G133" s="33" t="s">
        <v>95</v>
      </c>
      <c r="H133" s="33" t="s">
        <v>51</v>
      </c>
      <c r="I133" s="33" t="s">
        <v>227</v>
      </c>
      <c r="J133" s="33" t="s">
        <v>228</v>
      </c>
      <c r="K133" s="37">
        <v>44529</v>
      </c>
      <c r="L133" s="34" t="s">
        <v>57</v>
      </c>
      <c r="M133" s="34" t="s">
        <v>55</v>
      </c>
      <c r="N133" s="35">
        <v>277</v>
      </c>
      <c r="O133" s="35">
        <v>0.8</v>
      </c>
      <c r="P133" s="35">
        <v>0.4</v>
      </c>
      <c r="Q133" s="35">
        <v>0.2</v>
      </c>
      <c r="R133" s="35">
        <v>0.5</v>
      </c>
      <c r="S133" s="35">
        <v>0.6</v>
      </c>
      <c r="T133" s="35">
        <v>6.4</v>
      </c>
      <c r="U133" s="35">
        <v>90.5</v>
      </c>
      <c r="V133" s="35">
        <v>19.5</v>
      </c>
      <c r="W133" s="35">
        <v>6.75</v>
      </c>
      <c r="X133" s="35">
        <v>44.1</v>
      </c>
      <c r="Y133" s="35" t="s">
        <v>88</v>
      </c>
    </row>
    <row r="134" spans="1:25" ht="16.5" x14ac:dyDescent="0.3">
      <c r="A134" s="35">
        <v>2021</v>
      </c>
      <c r="B134" s="35" t="s">
        <v>248</v>
      </c>
      <c r="C134" s="55">
        <v>2</v>
      </c>
      <c r="D134" s="33" t="s">
        <v>216</v>
      </c>
      <c r="E134" s="33" t="s">
        <v>217</v>
      </c>
      <c r="F134" s="33" t="s">
        <v>119</v>
      </c>
      <c r="G134" s="33" t="s">
        <v>218</v>
      </c>
      <c r="H134" s="33" t="s">
        <v>121</v>
      </c>
      <c r="I134" s="33" t="s">
        <v>219</v>
      </c>
      <c r="J134" s="33" t="s">
        <v>220</v>
      </c>
      <c r="K134" s="37">
        <v>44228</v>
      </c>
      <c r="L134" s="34" t="s">
        <v>70</v>
      </c>
      <c r="M134" s="34" t="s">
        <v>71</v>
      </c>
      <c r="N134" s="35">
        <v>262</v>
      </c>
      <c r="O134" s="35">
        <v>2.2200000000000002</v>
      </c>
      <c r="P134" s="35">
        <v>1.38</v>
      </c>
      <c r="Q134" s="35">
        <v>0.96</v>
      </c>
      <c r="R134" s="35">
        <v>27.7</v>
      </c>
      <c r="S134" s="35">
        <v>80.3</v>
      </c>
      <c r="T134" s="35">
        <v>4.97</v>
      </c>
      <c r="U134" s="35">
        <v>70.599999999999994</v>
      </c>
      <c r="V134" s="35">
        <v>19.7</v>
      </c>
      <c r="W134" s="35">
        <v>7.29</v>
      </c>
      <c r="X134" s="35">
        <v>166.2</v>
      </c>
      <c r="Y134" s="35">
        <v>1025.8</v>
      </c>
    </row>
    <row r="135" spans="1:25" ht="16.5" x14ac:dyDescent="0.3">
      <c r="A135" s="35">
        <v>2021</v>
      </c>
      <c r="B135" s="35" t="s">
        <v>249</v>
      </c>
      <c r="C135" s="55">
        <v>2</v>
      </c>
      <c r="D135" s="33" t="s">
        <v>216</v>
      </c>
      <c r="E135" s="33" t="s">
        <v>217</v>
      </c>
      <c r="F135" s="33" t="s">
        <v>119</v>
      </c>
      <c r="G135" s="33" t="s">
        <v>218</v>
      </c>
      <c r="H135" s="33" t="s">
        <v>121</v>
      </c>
      <c r="I135" s="33" t="s">
        <v>219</v>
      </c>
      <c r="J135" s="33" t="s">
        <v>220</v>
      </c>
      <c r="K135" s="37">
        <v>44390</v>
      </c>
      <c r="L135" s="34" t="s">
        <v>59</v>
      </c>
      <c r="M135" s="34" t="s">
        <v>55</v>
      </c>
      <c r="N135" s="35">
        <v>308</v>
      </c>
      <c r="O135" s="35">
        <v>0.5</v>
      </c>
      <c r="P135" s="35">
        <v>0.2</v>
      </c>
      <c r="Q135" s="35">
        <v>0.1</v>
      </c>
      <c r="R135" s="35">
        <v>13.5</v>
      </c>
      <c r="S135" s="35">
        <v>35.799999999999997</v>
      </c>
      <c r="T135" s="35">
        <v>7.18</v>
      </c>
      <c r="U135" s="35">
        <v>95.2</v>
      </c>
      <c r="V135" s="35">
        <v>17</v>
      </c>
      <c r="W135" s="35">
        <v>7.08</v>
      </c>
      <c r="X135" s="35">
        <v>99.1</v>
      </c>
      <c r="Y135" s="35">
        <v>1814.17</v>
      </c>
    </row>
    <row r="136" spans="1:25" ht="16.5" x14ac:dyDescent="0.3">
      <c r="A136" s="35">
        <v>2021</v>
      </c>
      <c r="B136" s="35" t="s">
        <v>250</v>
      </c>
      <c r="C136" s="55">
        <v>2</v>
      </c>
      <c r="D136" s="33" t="s">
        <v>216</v>
      </c>
      <c r="E136" s="33" t="s">
        <v>217</v>
      </c>
      <c r="F136" s="33" t="s">
        <v>119</v>
      </c>
      <c r="G136" s="33" t="s">
        <v>218</v>
      </c>
      <c r="H136" s="33" t="s">
        <v>121</v>
      </c>
      <c r="I136" s="33" t="s">
        <v>219</v>
      </c>
      <c r="J136" s="33" t="s">
        <v>220</v>
      </c>
      <c r="K136" s="37">
        <v>44529</v>
      </c>
      <c r="L136" s="34" t="s">
        <v>57</v>
      </c>
      <c r="M136" s="34" t="s">
        <v>55</v>
      </c>
      <c r="N136" s="35">
        <v>285</v>
      </c>
      <c r="O136" s="35">
        <v>1.04</v>
      </c>
      <c r="P136" s="35">
        <v>0.56000000000000005</v>
      </c>
      <c r="Q136" s="35">
        <v>0.38</v>
      </c>
      <c r="R136" s="35">
        <v>8.3000000000000007</v>
      </c>
      <c r="S136" s="35">
        <v>25.4</v>
      </c>
      <c r="T136" s="35">
        <v>5.93</v>
      </c>
      <c r="U136" s="35">
        <v>82.9</v>
      </c>
      <c r="V136" s="35">
        <v>19</v>
      </c>
      <c r="W136" s="35">
        <v>6.95</v>
      </c>
      <c r="X136" s="35">
        <v>110.3</v>
      </c>
      <c r="Y136" s="35">
        <v>1438.98</v>
      </c>
    </row>
    <row r="137" spans="1:25" ht="16.5" x14ac:dyDescent="0.3">
      <c r="A137" s="35">
        <v>2022</v>
      </c>
      <c r="B137" s="35" t="s">
        <v>251</v>
      </c>
      <c r="C137" s="55">
        <v>2</v>
      </c>
      <c r="D137" s="33" t="s">
        <v>216</v>
      </c>
      <c r="E137" s="33" t="s">
        <v>217</v>
      </c>
      <c r="F137" s="33" t="s">
        <v>119</v>
      </c>
      <c r="G137" s="33" t="s">
        <v>218</v>
      </c>
      <c r="H137" s="33" t="s">
        <v>121</v>
      </c>
      <c r="I137" s="33" t="s">
        <v>219</v>
      </c>
      <c r="J137" s="33" t="s">
        <v>220</v>
      </c>
      <c r="K137" s="37">
        <v>44621</v>
      </c>
      <c r="L137" s="34" t="s">
        <v>130</v>
      </c>
      <c r="M137" s="34" t="s">
        <v>71</v>
      </c>
      <c r="N137" s="35">
        <v>63</v>
      </c>
      <c r="O137" s="35">
        <v>2.08</v>
      </c>
      <c r="P137" s="35">
        <v>1.08</v>
      </c>
      <c r="Q137" s="35">
        <v>0.68</v>
      </c>
      <c r="R137" s="35">
        <v>26.9</v>
      </c>
      <c r="S137" s="35">
        <v>71</v>
      </c>
      <c r="T137" s="35">
        <v>6.36</v>
      </c>
      <c r="U137" s="35">
        <v>85.25</v>
      </c>
      <c r="V137" s="35">
        <v>17.3</v>
      </c>
      <c r="W137" s="35">
        <v>7.25</v>
      </c>
      <c r="X137" s="35">
        <v>140.65</v>
      </c>
      <c r="Y137" s="35">
        <v>1194.3</v>
      </c>
    </row>
    <row r="138" spans="1:25" ht="16.5" x14ac:dyDescent="0.3">
      <c r="A138" s="35">
        <v>2022</v>
      </c>
      <c r="B138" s="35" t="s">
        <v>252</v>
      </c>
      <c r="C138" s="55">
        <v>2</v>
      </c>
      <c r="D138" s="33" t="s">
        <v>192</v>
      </c>
      <c r="E138" s="33" t="s">
        <v>193</v>
      </c>
      <c r="F138" s="33" t="s">
        <v>194</v>
      </c>
      <c r="G138" s="33" t="s">
        <v>64</v>
      </c>
      <c r="H138" s="33" t="s">
        <v>65</v>
      </c>
      <c r="I138" s="33" t="s">
        <v>195</v>
      </c>
      <c r="J138" s="33" t="s">
        <v>196</v>
      </c>
      <c r="K138" s="37">
        <v>44727</v>
      </c>
      <c r="L138" s="34" t="s">
        <v>76</v>
      </c>
      <c r="M138" s="34" t="s">
        <v>55</v>
      </c>
      <c r="N138" s="35">
        <v>76</v>
      </c>
      <c r="O138" s="35">
        <v>0.4</v>
      </c>
      <c r="P138" s="35">
        <v>0.1</v>
      </c>
      <c r="Q138" s="35">
        <v>0.06</v>
      </c>
      <c r="R138" s="35">
        <v>5.3</v>
      </c>
      <c r="S138" s="35">
        <v>13.3</v>
      </c>
      <c r="T138" s="35">
        <v>5.2850000000000001</v>
      </c>
      <c r="U138" s="35">
        <v>75.7</v>
      </c>
      <c r="V138" s="35">
        <v>20.100000000000001</v>
      </c>
      <c r="W138" s="35">
        <v>7.02</v>
      </c>
      <c r="X138" s="35">
        <v>89.35</v>
      </c>
      <c r="Y138" s="35">
        <v>3807.3</v>
      </c>
    </row>
    <row r="139" spans="1:25" ht="16.5" x14ac:dyDescent="0.3">
      <c r="A139" s="35">
        <v>2022</v>
      </c>
      <c r="B139" s="35" t="s">
        <v>253</v>
      </c>
      <c r="C139" s="55">
        <v>2</v>
      </c>
      <c r="D139" s="33" t="s">
        <v>192</v>
      </c>
      <c r="E139" s="33" t="s">
        <v>193</v>
      </c>
      <c r="F139" s="33" t="s">
        <v>194</v>
      </c>
      <c r="G139" s="33" t="s">
        <v>64</v>
      </c>
      <c r="H139" s="33" t="s">
        <v>65</v>
      </c>
      <c r="I139" s="33" t="s">
        <v>195</v>
      </c>
      <c r="J139" s="33" t="s">
        <v>196</v>
      </c>
      <c r="K139" s="37">
        <v>44894</v>
      </c>
      <c r="L139" s="34" t="s">
        <v>57</v>
      </c>
      <c r="M139" s="34" t="s">
        <v>55</v>
      </c>
      <c r="N139" s="35">
        <v>89</v>
      </c>
      <c r="O139" s="35">
        <v>0.4</v>
      </c>
      <c r="P139" s="35">
        <v>0.14000000000000001</v>
      </c>
      <c r="Q139" s="35">
        <v>0.04</v>
      </c>
      <c r="R139" s="35">
        <v>7.6</v>
      </c>
      <c r="S139" s="35">
        <v>17.8</v>
      </c>
      <c r="T139" s="35">
        <v>5.74</v>
      </c>
      <c r="U139" s="35">
        <v>82.4</v>
      </c>
      <c r="V139" s="35">
        <v>19.8</v>
      </c>
      <c r="W139" s="35">
        <v>6.7949999999999999</v>
      </c>
      <c r="X139" s="35">
        <v>91.4</v>
      </c>
      <c r="Y139" s="35" t="s">
        <v>88</v>
      </c>
    </row>
    <row r="140" spans="1:25" ht="16.5" x14ac:dyDescent="0.3">
      <c r="A140" s="35">
        <v>2023</v>
      </c>
      <c r="B140" s="35" t="s">
        <v>254</v>
      </c>
      <c r="C140" s="55">
        <v>2</v>
      </c>
      <c r="D140" s="33" t="s">
        <v>192</v>
      </c>
      <c r="E140" s="33" t="s">
        <v>193</v>
      </c>
      <c r="F140" s="33" t="s">
        <v>194</v>
      </c>
      <c r="G140" s="33" t="s">
        <v>64</v>
      </c>
      <c r="H140" s="33" t="s">
        <v>65</v>
      </c>
      <c r="I140" s="33" t="s">
        <v>195</v>
      </c>
      <c r="J140" s="33" t="s">
        <v>196</v>
      </c>
      <c r="K140" s="37">
        <v>44986</v>
      </c>
      <c r="L140" s="34" t="s">
        <v>130</v>
      </c>
      <c r="M140" s="34" t="s">
        <v>71</v>
      </c>
      <c r="N140" s="35">
        <v>24</v>
      </c>
      <c r="O140" s="35">
        <v>0.86</v>
      </c>
      <c r="P140" s="35">
        <v>0.28000000000000003</v>
      </c>
      <c r="Q140" s="35">
        <v>0.12</v>
      </c>
      <c r="R140" s="35" t="s">
        <v>255</v>
      </c>
      <c r="S140" s="35">
        <v>45.3</v>
      </c>
      <c r="T140" s="35">
        <v>5.15</v>
      </c>
      <c r="U140" s="35">
        <v>74.05</v>
      </c>
      <c r="V140" s="35">
        <v>20.399999999999999</v>
      </c>
      <c r="W140" s="35">
        <v>6.77</v>
      </c>
      <c r="X140" s="35">
        <v>83.6</v>
      </c>
      <c r="Y140" s="35" t="s">
        <v>88</v>
      </c>
    </row>
    <row r="141" spans="1:25" ht="16.5" x14ac:dyDescent="0.3">
      <c r="A141" s="35">
        <v>2023</v>
      </c>
      <c r="B141" s="35" t="s">
        <v>256</v>
      </c>
      <c r="C141" s="55">
        <v>2</v>
      </c>
      <c r="D141" s="33" t="s">
        <v>192</v>
      </c>
      <c r="E141" s="33" t="s">
        <v>193</v>
      </c>
      <c r="F141" s="33" t="s">
        <v>194</v>
      </c>
      <c r="G141" s="33" t="s">
        <v>64</v>
      </c>
      <c r="H141" s="33" t="s">
        <v>65</v>
      </c>
      <c r="I141" s="33" t="s">
        <v>195</v>
      </c>
      <c r="J141" s="33" t="s">
        <v>196</v>
      </c>
      <c r="K141" s="37">
        <v>45056</v>
      </c>
      <c r="L141" s="34" t="s">
        <v>85</v>
      </c>
      <c r="M141" s="34" t="s">
        <v>55</v>
      </c>
      <c r="N141" s="35">
        <v>28</v>
      </c>
      <c r="O141" s="35">
        <v>0.48</v>
      </c>
      <c r="P141" s="35">
        <v>0.14000000000000001</v>
      </c>
      <c r="Q141" s="35">
        <v>0.04</v>
      </c>
      <c r="R141" s="35">
        <v>5</v>
      </c>
      <c r="S141" s="35">
        <v>17.100000000000001</v>
      </c>
      <c r="T141" s="35">
        <v>4.6449999999999996</v>
      </c>
      <c r="U141" s="35">
        <v>68.099999999999994</v>
      </c>
      <c r="V141" s="35">
        <v>21.6</v>
      </c>
      <c r="W141" s="35">
        <v>7.11</v>
      </c>
      <c r="X141" s="35">
        <v>137.85</v>
      </c>
      <c r="Y141" s="35" t="s">
        <v>88</v>
      </c>
    </row>
    <row r="142" spans="1:25" ht="16.5" x14ac:dyDescent="0.3">
      <c r="A142" s="35">
        <v>2022</v>
      </c>
      <c r="B142" s="35" t="s">
        <v>257</v>
      </c>
      <c r="C142" s="55">
        <v>6</v>
      </c>
      <c r="D142" s="33" t="s">
        <v>225</v>
      </c>
      <c r="E142" s="33" t="s">
        <v>226</v>
      </c>
      <c r="F142" s="33" t="s">
        <v>94</v>
      </c>
      <c r="G142" s="33" t="s">
        <v>95</v>
      </c>
      <c r="H142" s="33" t="s">
        <v>51</v>
      </c>
      <c r="I142" s="33" t="s">
        <v>227</v>
      </c>
      <c r="J142" s="33" t="s">
        <v>228</v>
      </c>
      <c r="K142" s="37">
        <v>44614</v>
      </c>
      <c r="L142" s="34" t="s">
        <v>70</v>
      </c>
      <c r="M142" s="34" t="s">
        <v>71</v>
      </c>
      <c r="N142" s="35">
        <v>134</v>
      </c>
      <c r="O142" s="35">
        <v>1.1000000000000001</v>
      </c>
      <c r="P142" s="35">
        <v>0.4</v>
      </c>
      <c r="Q142" s="35">
        <v>0.2</v>
      </c>
      <c r="R142" s="35">
        <v>4.7</v>
      </c>
      <c r="S142" s="35">
        <v>34.200000000000003</v>
      </c>
      <c r="T142" s="35">
        <v>6.46</v>
      </c>
      <c r="U142" s="35">
        <v>88.4</v>
      </c>
      <c r="V142" s="35">
        <v>18.2</v>
      </c>
      <c r="W142" s="35">
        <v>6.4349999999999996</v>
      </c>
      <c r="X142" s="35">
        <v>57.55</v>
      </c>
      <c r="Y142" s="35">
        <v>6680.5</v>
      </c>
    </row>
    <row r="143" spans="1:25" ht="16.5" x14ac:dyDescent="0.3">
      <c r="A143" s="35">
        <v>2022</v>
      </c>
      <c r="B143" s="35" t="s">
        <v>258</v>
      </c>
      <c r="C143" s="55">
        <v>6</v>
      </c>
      <c r="D143" s="33" t="s">
        <v>225</v>
      </c>
      <c r="E143" s="33" t="s">
        <v>226</v>
      </c>
      <c r="F143" s="33" t="s">
        <v>94</v>
      </c>
      <c r="G143" s="33" t="s">
        <v>95</v>
      </c>
      <c r="H143" s="33" t="s">
        <v>51</v>
      </c>
      <c r="I143" s="33" t="s">
        <v>227</v>
      </c>
      <c r="J143" s="33" t="s">
        <v>228</v>
      </c>
      <c r="K143" s="37">
        <v>44720</v>
      </c>
      <c r="L143" s="34" t="s">
        <v>76</v>
      </c>
      <c r="M143" s="34" t="s">
        <v>55</v>
      </c>
      <c r="N143" s="35">
        <v>144</v>
      </c>
      <c r="O143" s="35">
        <v>0.6</v>
      </c>
      <c r="P143" s="35">
        <v>0.2</v>
      </c>
      <c r="Q143" s="35">
        <v>0.1</v>
      </c>
      <c r="R143" s="35">
        <v>2.2000000000000002</v>
      </c>
      <c r="S143" s="35">
        <v>17.5</v>
      </c>
      <c r="T143" s="35">
        <v>6.79</v>
      </c>
      <c r="U143" s="35">
        <v>90.65</v>
      </c>
      <c r="V143" s="35">
        <v>17.100000000000001</v>
      </c>
      <c r="W143" s="35">
        <v>6.9</v>
      </c>
      <c r="X143" s="35">
        <v>50</v>
      </c>
      <c r="Y143" s="35">
        <v>15116.6</v>
      </c>
    </row>
    <row r="144" spans="1:25" ht="16.5" x14ac:dyDescent="0.3">
      <c r="A144" s="35">
        <v>2022</v>
      </c>
      <c r="B144" s="35" t="s">
        <v>259</v>
      </c>
      <c r="C144" s="55">
        <v>6</v>
      </c>
      <c r="D144" s="33" t="s">
        <v>225</v>
      </c>
      <c r="E144" s="33" t="s">
        <v>226</v>
      </c>
      <c r="F144" s="33" t="s">
        <v>94</v>
      </c>
      <c r="G144" s="33" t="s">
        <v>95</v>
      </c>
      <c r="H144" s="33" t="s">
        <v>51</v>
      </c>
      <c r="I144" s="33" t="s">
        <v>227</v>
      </c>
      <c r="J144" s="33" t="s">
        <v>228</v>
      </c>
      <c r="K144" s="37">
        <v>44888</v>
      </c>
      <c r="L144" s="34" t="s">
        <v>57</v>
      </c>
      <c r="M144" s="34" t="s">
        <v>55</v>
      </c>
      <c r="N144" s="35">
        <v>154</v>
      </c>
      <c r="O144" s="35">
        <v>0.62</v>
      </c>
      <c r="P144" s="35">
        <v>0.24</v>
      </c>
      <c r="Q144" s="35">
        <v>0.1</v>
      </c>
      <c r="R144" s="35">
        <v>5.2</v>
      </c>
      <c r="S144" s="35">
        <v>37.6</v>
      </c>
      <c r="T144" s="35">
        <v>6.59</v>
      </c>
      <c r="U144" s="35">
        <v>92.15</v>
      </c>
      <c r="V144" s="35">
        <v>18.600000000000001</v>
      </c>
      <c r="W144" s="35">
        <v>6.7149999999999999</v>
      </c>
      <c r="X144" s="35">
        <v>47.85</v>
      </c>
      <c r="Y144" s="35">
        <v>12058.4</v>
      </c>
    </row>
    <row r="145" spans="1:25" ht="16.5" x14ac:dyDescent="0.3">
      <c r="A145" s="35">
        <v>2023</v>
      </c>
      <c r="B145" s="35" t="s">
        <v>260</v>
      </c>
      <c r="C145" s="55">
        <v>6</v>
      </c>
      <c r="D145" s="33" t="s">
        <v>225</v>
      </c>
      <c r="E145" s="33" t="s">
        <v>226</v>
      </c>
      <c r="F145" s="33" t="s">
        <v>94</v>
      </c>
      <c r="G145" s="33" t="s">
        <v>95</v>
      </c>
      <c r="H145" s="33" t="s">
        <v>51</v>
      </c>
      <c r="I145" s="33" t="s">
        <v>227</v>
      </c>
      <c r="J145" s="33" t="s">
        <v>228</v>
      </c>
      <c r="K145" s="37">
        <v>44985</v>
      </c>
      <c r="L145" s="34" t="s">
        <v>70</v>
      </c>
      <c r="M145" s="34" t="s">
        <v>71</v>
      </c>
      <c r="N145" s="35">
        <v>104</v>
      </c>
      <c r="O145" s="35">
        <v>0.62</v>
      </c>
      <c r="P145" s="35">
        <v>0.2</v>
      </c>
      <c r="Q145" s="35">
        <v>0.08</v>
      </c>
      <c r="R145" s="35">
        <v>1.6</v>
      </c>
      <c r="S145" s="35">
        <v>13.8</v>
      </c>
      <c r="T145" s="35">
        <v>5.8550000000000004</v>
      </c>
      <c r="U145" s="35">
        <v>83.75</v>
      </c>
      <c r="V145" s="35">
        <v>20.2</v>
      </c>
      <c r="W145" s="35">
        <v>6.59</v>
      </c>
      <c r="X145" s="35">
        <v>111.5</v>
      </c>
      <c r="Y145" s="35">
        <v>1705</v>
      </c>
    </row>
    <row r="146" spans="1:25" ht="16.5" x14ac:dyDescent="0.3">
      <c r="A146" s="35">
        <v>2023</v>
      </c>
      <c r="B146" s="35" t="s">
        <v>261</v>
      </c>
      <c r="C146" s="55">
        <v>6</v>
      </c>
      <c r="D146" s="33" t="s">
        <v>225</v>
      </c>
      <c r="E146" s="33" t="s">
        <v>226</v>
      </c>
      <c r="F146" s="33" t="s">
        <v>94</v>
      </c>
      <c r="G146" s="33" t="s">
        <v>95</v>
      </c>
      <c r="H146" s="33" t="s">
        <v>51</v>
      </c>
      <c r="I146" s="33" t="s">
        <v>227</v>
      </c>
      <c r="J146" s="33" t="s">
        <v>228</v>
      </c>
      <c r="K146" s="37">
        <v>45056</v>
      </c>
      <c r="L146" s="34" t="s">
        <v>85</v>
      </c>
      <c r="M146" s="34" t="s">
        <v>55</v>
      </c>
      <c r="N146" s="35">
        <v>114</v>
      </c>
      <c r="O146" s="35">
        <v>0.42</v>
      </c>
      <c r="P146" s="35">
        <v>0.12</v>
      </c>
      <c r="Q146" s="35">
        <v>0.04</v>
      </c>
      <c r="R146" s="35">
        <v>1.2</v>
      </c>
      <c r="S146" s="35">
        <v>6.9</v>
      </c>
      <c r="T146" s="35">
        <v>6.4950000000000001</v>
      </c>
      <c r="U146" s="35">
        <v>93.35</v>
      </c>
      <c r="V146" s="35">
        <v>19.899999999999999</v>
      </c>
      <c r="W146" s="35">
        <v>6.7149999999999999</v>
      </c>
      <c r="X146" s="35">
        <v>110.75</v>
      </c>
      <c r="Y146" s="35">
        <v>2150</v>
      </c>
    </row>
    <row r="147" spans="1:25" ht="16.5" x14ac:dyDescent="0.3">
      <c r="A147" s="35">
        <v>2023</v>
      </c>
      <c r="B147" s="35" t="s">
        <v>262</v>
      </c>
      <c r="C147" s="55">
        <v>6</v>
      </c>
      <c r="D147" s="33" t="s">
        <v>225</v>
      </c>
      <c r="E147" s="33" t="s">
        <v>226</v>
      </c>
      <c r="F147" s="33" t="s">
        <v>94</v>
      </c>
      <c r="G147" s="33" t="s">
        <v>95</v>
      </c>
      <c r="H147" s="33" t="s">
        <v>51</v>
      </c>
      <c r="I147" s="33" t="s">
        <v>227</v>
      </c>
      <c r="J147" s="33" t="s">
        <v>228</v>
      </c>
      <c r="K147" s="37">
        <v>45252</v>
      </c>
      <c r="L147" s="34" t="s">
        <v>57</v>
      </c>
      <c r="M147" s="34" t="s">
        <v>55</v>
      </c>
      <c r="N147" s="35">
        <v>126</v>
      </c>
      <c r="O147" s="35">
        <v>0.32</v>
      </c>
      <c r="P147" s="35">
        <v>0.1</v>
      </c>
      <c r="Q147" s="35">
        <v>0.04</v>
      </c>
      <c r="R147" s="35">
        <v>2.1</v>
      </c>
      <c r="S147" s="35">
        <v>7.2</v>
      </c>
      <c r="T147" s="35">
        <v>5.94</v>
      </c>
      <c r="U147" s="35">
        <v>84.15</v>
      </c>
      <c r="V147" s="35">
        <v>20</v>
      </c>
      <c r="W147" s="35">
        <v>6.6349999999999998</v>
      </c>
      <c r="X147" s="35">
        <v>85.55</v>
      </c>
      <c r="Y147" s="35" t="s">
        <v>88</v>
      </c>
    </row>
    <row r="148" spans="1:25" ht="16.5" x14ac:dyDescent="0.3">
      <c r="A148" s="1">
        <v>2024</v>
      </c>
      <c r="B148" s="1" t="s">
        <v>263</v>
      </c>
      <c r="C148" s="1">
        <v>7</v>
      </c>
      <c r="D148" t="s">
        <v>264</v>
      </c>
      <c r="E148" t="s">
        <v>265</v>
      </c>
      <c r="F148" t="s">
        <v>94</v>
      </c>
      <c r="G148" t="s">
        <v>266</v>
      </c>
      <c r="H148" t="s">
        <v>51</v>
      </c>
      <c r="I148" t="s">
        <v>267</v>
      </c>
      <c r="J148" t="s">
        <v>268</v>
      </c>
      <c r="K148" s="41">
        <v>45349</v>
      </c>
      <c r="L148" s="34" t="s">
        <v>70</v>
      </c>
      <c r="M148" s="1" t="s">
        <v>71</v>
      </c>
      <c r="O148" s="1">
        <v>1.1000000000000001</v>
      </c>
      <c r="P148" s="1">
        <v>0.54</v>
      </c>
      <c r="Q148" s="1">
        <v>0.32</v>
      </c>
      <c r="R148" s="1">
        <v>2.8</v>
      </c>
      <c r="S148" s="1">
        <v>8.6999999999999993</v>
      </c>
      <c r="T148" s="1">
        <v>5.1099999999999994</v>
      </c>
      <c r="U148" s="1">
        <v>72.449999999999989</v>
      </c>
      <c r="V148" s="1">
        <v>19.899999999999999</v>
      </c>
      <c r="W148" s="1">
        <v>7.0350000000000001</v>
      </c>
      <c r="X148" s="1">
        <v>160.80000000000001</v>
      </c>
      <c r="Y148" s="1" t="s">
        <v>88</v>
      </c>
    </row>
    <row r="149" spans="1:25" ht="16.5" x14ac:dyDescent="0.3">
      <c r="A149" s="1">
        <v>2024</v>
      </c>
      <c r="B149" s="1" t="s">
        <v>269</v>
      </c>
      <c r="C149" s="1">
        <v>7</v>
      </c>
      <c r="D149" t="s">
        <v>264</v>
      </c>
      <c r="E149" t="s">
        <v>265</v>
      </c>
      <c r="F149" t="s">
        <v>94</v>
      </c>
      <c r="G149" t="s">
        <v>266</v>
      </c>
      <c r="H149" t="s">
        <v>51</v>
      </c>
      <c r="I149" t="s">
        <v>267</v>
      </c>
      <c r="J149" t="s">
        <v>268</v>
      </c>
      <c r="K149" s="41">
        <v>45461</v>
      </c>
      <c r="L149" s="34" t="s">
        <v>76</v>
      </c>
      <c r="M149" s="34" t="s">
        <v>55</v>
      </c>
      <c r="O149" s="1">
        <v>0.66</v>
      </c>
      <c r="P149" s="1">
        <v>0.3</v>
      </c>
      <c r="Q149" s="1">
        <v>0.18</v>
      </c>
      <c r="R149" s="1">
        <v>2</v>
      </c>
      <c r="S149" s="1">
        <v>17.3</v>
      </c>
      <c r="T149" s="1">
        <v>6.3049999999999997</v>
      </c>
      <c r="U149" s="1">
        <v>87.1</v>
      </c>
      <c r="V149" s="1">
        <v>18.8</v>
      </c>
      <c r="W149" s="1">
        <v>7.3949999999999996</v>
      </c>
      <c r="X149" s="1">
        <v>66.900000000000006</v>
      </c>
      <c r="Y149" s="1" t="s">
        <v>88</v>
      </c>
    </row>
    <row r="150" spans="1:25" ht="16.5" x14ac:dyDescent="0.3">
      <c r="A150" s="35">
        <v>2022</v>
      </c>
      <c r="B150" s="35" t="s">
        <v>270</v>
      </c>
      <c r="C150" s="55">
        <v>2</v>
      </c>
      <c r="D150" s="33" t="s">
        <v>216</v>
      </c>
      <c r="E150" s="33" t="s">
        <v>217</v>
      </c>
      <c r="F150" s="33" t="s">
        <v>119</v>
      </c>
      <c r="G150" s="33" t="s">
        <v>218</v>
      </c>
      <c r="H150" s="33" t="s">
        <v>121</v>
      </c>
      <c r="I150" s="33" t="s">
        <v>219</v>
      </c>
      <c r="J150" s="33" t="s">
        <v>220</v>
      </c>
      <c r="K150" s="37">
        <v>44727</v>
      </c>
      <c r="L150" s="34" t="s">
        <v>76</v>
      </c>
      <c r="M150" s="34" t="s">
        <v>55</v>
      </c>
      <c r="N150" s="35">
        <v>72</v>
      </c>
      <c r="O150" s="35">
        <v>0.4</v>
      </c>
      <c r="P150" s="35">
        <v>0.14000000000000001</v>
      </c>
      <c r="Q150" s="35">
        <v>0.08</v>
      </c>
      <c r="R150" s="35">
        <v>10.7</v>
      </c>
      <c r="S150" s="35">
        <v>46.5</v>
      </c>
      <c r="T150" s="35">
        <v>6.4450000000000003</v>
      </c>
      <c r="U150" s="35">
        <v>89.35</v>
      </c>
      <c r="V150" s="35">
        <v>19.100000000000001</v>
      </c>
      <c r="W150" s="35">
        <v>7.16</v>
      </c>
      <c r="X150" s="35">
        <v>113.55</v>
      </c>
      <c r="Y150" s="35">
        <v>1610.4</v>
      </c>
    </row>
    <row r="151" spans="1:25" ht="16.5" x14ac:dyDescent="0.3">
      <c r="A151" s="35">
        <v>2022</v>
      </c>
      <c r="B151" s="35" t="s">
        <v>271</v>
      </c>
      <c r="C151" s="55">
        <v>2</v>
      </c>
      <c r="D151" s="33" t="s">
        <v>216</v>
      </c>
      <c r="E151" s="33" t="s">
        <v>217</v>
      </c>
      <c r="F151" s="33" t="s">
        <v>119</v>
      </c>
      <c r="G151" s="33" t="s">
        <v>218</v>
      </c>
      <c r="H151" s="33" t="s">
        <v>121</v>
      </c>
      <c r="I151" s="33" t="s">
        <v>219</v>
      </c>
      <c r="J151" s="33" t="s">
        <v>220</v>
      </c>
      <c r="K151" s="37">
        <v>44894</v>
      </c>
      <c r="L151" s="34" t="s">
        <v>57</v>
      </c>
      <c r="M151" s="34" t="s">
        <v>55</v>
      </c>
      <c r="N151" s="35">
        <v>85</v>
      </c>
      <c r="O151" s="35">
        <v>0.66</v>
      </c>
      <c r="P151" s="35">
        <v>0.32</v>
      </c>
      <c r="Q151" s="35">
        <v>0.18</v>
      </c>
      <c r="R151" s="35">
        <v>15.1</v>
      </c>
      <c r="S151" s="35">
        <v>52.1</v>
      </c>
      <c r="T151" s="35">
        <v>6.66</v>
      </c>
      <c r="U151" s="35">
        <v>92.45</v>
      </c>
      <c r="V151" s="35">
        <v>18.3</v>
      </c>
      <c r="W151" s="35">
        <v>6.91</v>
      </c>
      <c r="X151" s="35">
        <v>128.35</v>
      </c>
      <c r="Y151" s="35">
        <v>1424.2</v>
      </c>
    </row>
    <row r="152" spans="1:25" ht="16.5" x14ac:dyDescent="0.3">
      <c r="A152" s="35">
        <v>2023</v>
      </c>
      <c r="B152" s="35" t="s">
        <v>272</v>
      </c>
      <c r="C152" s="55">
        <v>2</v>
      </c>
      <c r="D152" s="33" t="s">
        <v>216</v>
      </c>
      <c r="E152" s="33" t="s">
        <v>217</v>
      </c>
      <c r="F152" s="33" t="s">
        <v>119</v>
      </c>
      <c r="G152" s="33" t="s">
        <v>218</v>
      </c>
      <c r="H152" s="33" t="s">
        <v>121</v>
      </c>
      <c r="I152" s="33" t="s">
        <v>219</v>
      </c>
      <c r="J152" s="33" t="s">
        <v>220</v>
      </c>
      <c r="K152" s="37">
        <v>44986</v>
      </c>
      <c r="L152" s="34" t="s">
        <v>130</v>
      </c>
      <c r="M152" s="34" t="s">
        <v>71</v>
      </c>
      <c r="N152" s="35">
        <v>15</v>
      </c>
      <c r="O152" s="35">
        <v>3.04</v>
      </c>
      <c r="P152" s="35">
        <v>1.98</v>
      </c>
      <c r="Q152" s="35">
        <v>1.42</v>
      </c>
      <c r="R152" s="35" t="s">
        <v>273</v>
      </c>
      <c r="S152" s="35">
        <v>119.2</v>
      </c>
      <c r="T152" s="35">
        <v>3.8450000000000002</v>
      </c>
      <c r="U152" s="35">
        <v>57.6</v>
      </c>
      <c r="V152" s="35">
        <v>22.3</v>
      </c>
      <c r="W152" s="35">
        <v>7.0650000000000004</v>
      </c>
      <c r="X152" s="35">
        <v>204</v>
      </c>
      <c r="Y152" s="35">
        <v>517.4</v>
      </c>
    </row>
    <row r="153" spans="1:25" ht="16.5" x14ac:dyDescent="0.3">
      <c r="A153" s="35">
        <v>2023</v>
      </c>
      <c r="B153" s="35" t="s">
        <v>274</v>
      </c>
      <c r="C153" s="55">
        <v>2</v>
      </c>
      <c r="D153" s="33" t="s">
        <v>216</v>
      </c>
      <c r="E153" s="33" t="s">
        <v>217</v>
      </c>
      <c r="F153" s="33" t="s">
        <v>119</v>
      </c>
      <c r="G153" s="33" t="s">
        <v>218</v>
      </c>
      <c r="H153" s="33" t="s">
        <v>121</v>
      </c>
      <c r="I153" s="33" t="s">
        <v>219</v>
      </c>
      <c r="J153" s="33" t="s">
        <v>220</v>
      </c>
      <c r="K153" s="37">
        <v>45062</v>
      </c>
      <c r="L153" s="34" t="s">
        <v>85</v>
      </c>
      <c r="M153" s="34" t="s">
        <v>55</v>
      </c>
      <c r="N153" s="35">
        <v>39</v>
      </c>
      <c r="O153" s="35">
        <v>1.74</v>
      </c>
      <c r="P153" s="35">
        <v>0.98</v>
      </c>
      <c r="Q153" s="35">
        <v>0.64</v>
      </c>
      <c r="R153" s="35">
        <v>44</v>
      </c>
      <c r="S153" s="35">
        <v>102.4</v>
      </c>
      <c r="T153" s="35">
        <v>4.45</v>
      </c>
      <c r="U153" s="35">
        <v>64.75</v>
      </c>
      <c r="V153" s="35">
        <v>21.1</v>
      </c>
      <c r="W153" s="35">
        <v>7.0949999999999998</v>
      </c>
      <c r="X153" s="35">
        <v>197.85</v>
      </c>
      <c r="Y153" s="35">
        <v>657.5</v>
      </c>
    </row>
    <row r="154" spans="1:25" ht="16.5" x14ac:dyDescent="0.3">
      <c r="A154" s="1">
        <v>2024</v>
      </c>
      <c r="B154" s="1" t="s">
        <v>275</v>
      </c>
      <c r="C154" s="1">
        <v>2</v>
      </c>
      <c r="D154" t="s">
        <v>181</v>
      </c>
      <c r="E154" t="s">
        <v>182</v>
      </c>
      <c r="F154" t="s">
        <v>101</v>
      </c>
      <c r="G154" t="s">
        <v>183</v>
      </c>
      <c r="H154" t="s">
        <v>103</v>
      </c>
      <c r="I154" t="s">
        <v>184</v>
      </c>
      <c r="J154" t="s">
        <v>185</v>
      </c>
      <c r="K154" s="41">
        <v>45461</v>
      </c>
      <c r="L154" s="34" t="s">
        <v>76</v>
      </c>
      <c r="M154" s="34" t="s">
        <v>55</v>
      </c>
      <c r="O154" s="1">
        <v>0.44</v>
      </c>
      <c r="P154" s="1">
        <v>0.18</v>
      </c>
      <c r="Q154" s="1">
        <v>0.08</v>
      </c>
      <c r="R154" s="1">
        <v>1.7</v>
      </c>
      <c r="S154" s="1">
        <v>10.3</v>
      </c>
      <c r="T154" s="1">
        <v>7.2050000000000001</v>
      </c>
      <c r="U154" s="1">
        <v>98.95</v>
      </c>
      <c r="V154" s="1">
        <v>18.2</v>
      </c>
      <c r="W154" s="1">
        <v>7.335</v>
      </c>
      <c r="X154" s="1">
        <v>67.099999999999994</v>
      </c>
      <c r="Y154" s="1">
        <v>570</v>
      </c>
    </row>
    <row r="155" spans="1:25" ht="16.5" x14ac:dyDescent="0.3">
      <c r="A155" s="1">
        <v>2024</v>
      </c>
      <c r="B155" s="1" t="s">
        <v>276</v>
      </c>
      <c r="C155" s="1">
        <v>2</v>
      </c>
      <c r="D155" t="s">
        <v>181</v>
      </c>
      <c r="E155" t="s">
        <v>182</v>
      </c>
      <c r="F155" t="s">
        <v>101</v>
      </c>
      <c r="G155" t="s">
        <v>183</v>
      </c>
      <c r="H155" t="s">
        <v>103</v>
      </c>
      <c r="I155" t="s">
        <v>184</v>
      </c>
      <c r="J155" t="s">
        <v>185</v>
      </c>
      <c r="K155" s="41">
        <v>45622</v>
      </c>
      <c r="L155" s="34" t="s">
        <v>57</v>
      </c>
      <c r="M155" s="1" t="s">
        <v>55</v>
      </c>
      <c r="O155" s="1">
        <v>0.36</v>
      </c>
      <c r="P155" s="1">
        <v>0.2</v>
      </c>
      <c r="Q155" s="1">
        <v>0.16</v>
      </c>
      <c r="R155" s="1">
        <v>1.2</v>
      </c>
      <c r="S155" s="1">
        <v>14.95</v>
      </c>
      <c r="T155" s="1">
        <v>7.2249999999999996</v>
      </c>
      <c r="U155" s="1">
        <v>101.05</v>
      </c>
      <c r="V155" s="1">
        <v>18.7</v>
      </c>
      <c r="W155" s="1">
        <v>7.55</v>
      </c>
      <c r="X155" s="1">
        <v>79</v>
      </c>
      <c r="Y155" s="1">
        <v>224.7</v>
      </c>
    </row>
    <row r="156" spans="1:25" ht="16.5" x14ac:dyDescent="0.3">
      <c r="A156" s="35">
        <v>2021</v>
      </c>
      <c r="B156" s="35" t="s">
        <v>277</v>
      </c>
      <c r="C156" s="55">
        <v>3</v>
      </c>
      <c r="D156" s="33" t="s">
        <v>278</v>
      </c>
      <c r="E156" s="33" t="s">
        <v>279</v>
      </c>
      <c r="F156" s="33" t="s">
        <v>101</v>
      </c>
      <c r="G156" s="33" t="s">
        <v>183</v>
      </c>
      <c r="H156" s="33" t="s">
        <v>103</v>
      </c>
      <c r="I156" s="33" t="s">
        <v>280</v>
      </c>
      <c r="J156" s="33" t="s">
        <v>281</v>
      </c>
      <c r="K156" s="37">
        <v>44390</v>
      </c>
      <c r="L156" s="34" t="s">
        <v>59</v>
      </c>
      <c r="M156" s="34" t="s">
        <v>55</v>
      </c>
      <c r="N156" s="35">
        <v>317</v>
      </c>
      <c r="O156" s="35">
        <v>0.4</v>
      </c>
      <c r="P156" s="35">
        <v>0.2</v>
      </c>
      <c r="Q156" s="35">
        <v>0.1</v>
      </c>
      <c r="R156" s="35">
        <v>16.600000000000001</v>
      </c>
      <c r="S156" s="35">
        <v>32.700000000000003</v>
      </c>
      <c r="T156" s="35">
        <v>5.19</v>
      </c>
      <c r="U156" s="35">
        <v>72.3</v>
      </c>
      <c r="V156" s="35">
        <v>19.100000000000001</v>
      </c>
      <c r="W156" s="35">
        <v>7.24</v>
      </c>
      <c r="X156" s="35">
        <v>160.80000000000001</v>
      </c>
      <c r="Y156" s="35">
        <v>1397.07</v>
      </c>
    </row>
    <row r="157" spans="1:25" ht="16.5" x14ac:dyDescent="0.3">
      <c r="A157" s="35">
        <v>2019</v>
      </c>
      <c r="B157" s="35" t="s">
        <v>282</v>
      </c>
      <c r="C157" s="55">
        <v>3</v>
      </c>
      <c r="D157" s="33" t="s">
        <v>278</v>
      </c>
      <c r="E157" s="33" t="s">
        <v>279</v>
      </c>
      <c r="F157" s="33" t="s">
        <v>101</v>
      </c>
      <c r="G157" s="33" t="s">
        <v>183</v>
      </c>
      <c r="H157" s="33" t="s">
        <v>103</v>
      </c>
      <c r="I157" s="33" t="s">
        <v>280</v>
      </c>
      <c r="J157" s="33" t="s">
        <v>281</v>
      </c>
      <c r="K157" s="37">
        <v>43794</v>
      </c>
      <c r="L157" s="34" t="s">
        <v>57</v>
      </c>
      <c r="M157" s="34" t="s">
        <v>55</v>
      </c>
      <c r="N157" s="35">
        <v>181</v>
      </c>
      <c r="O157" s="35">
        <v>0.6</v>
      </c>
      <c r="P157" s="35">
        <v>0.3</v>
      </c>
      <c r="Q157" s="35">
        <v>0.1</v>
      </c>
      <c r="R157" s="35">
        <v>11.4</v>
      </c>
      <c r="S157" s="35">
        <v>53.9</v>
      </c>
      <c r="T157" s="35">
        <v>6.59</v>
      </c>
      <c r="U157" s="35">
        <v>86.5</v>
      </c>
      <c r="V157" s="35">
        <v>15.9</v>
      </c>
      <c r="W157" s="35">
        <v>7.58</v>
      </c>
      <c r="X157" s="35">
        <v>153.4</v>
      </c>
      <c r="Y157" s="35">
        <v>1376.93</v>
      </c>
    </row>
    <row r="158" spans="1:25" ht="16.5" x14ac:dyDescent="0.3">
      <c r="A158" s="35">
        <v>2020</v>
      </c>
      <c r="B158" s="35" t="s">
        <v>283</v>
      </c>
      <c r="C158" s="55">
        <v>3</v>
      </c>
      <c r="D158" s="33" t="s">
        <v>278</v>
      </c>
      <c r="E158" s="33" t="s">
        <v>279</v>
      </c>
      <c r="F158" s="33" t="s">
        <v>101</v>
      </c>
      <c r="G158" s="33" t="s">
        <v>183</v>
      </c>
      <c r="H158" s="33" t="s">
        <v>103</v>
      </c>
      <c r="I158" s="33" t="s">
        <v>280</v>
      </c>
      <c r="J158" s="33" t="s">
        <v>281</v>
      </c>
      <c r="K158" s="37">
        <v>43885</v>
      </c>
      <c r="L158" s="34" t="s">
        <v>70</v>
      </c>
      <c r="M158" s="34" t="s">
        <v>71</v>
      </c>
      <c r="N158" s="35">
        <v>204</v>
      </c>
      <c r="O158" s="35">
        <v>1.5</v>
      </c>
      <c r="P158" s="35">
        <v>0.9</v>
      </c>
      <c r="Q158" s="35">
        <v>0.6</v>
      </c>
      <c r="R158" s="35">
        <v>48.5</v>
      </c>
      <c r="S158" s="35">
        <v>130.9</v>
      </c>
      <c r="T158" s="35">
        <v>5.19</v>
      </c>
      <c r="U158" s="35">
        <v>72.099999999999994</v>
      </c>
      <c r="V158" s="35">
        <v>18.5</v>
      </c>
      <c r="W158" s="35">
        <v>7.58</v>
      </c>
      <c r="X158" s="35">
        <v>227</v>
      </c>
      <c r="Y158" s="35">
        <v>769.53</v>
      </c>
    </row>
    <row r="159" spans="1:25" ht="16.5" x14ac:dyDescent="0.3">
      <c r="A159" s="1">
        <v>2024</v>
      </c>
      <c r="B159" s="1" t="s">
        <v>284</v>
      </c>
      <c r="C159" s="1">
        <v>7</v>
      </c>
      <c r="D159" t="s">
        <v>264</v>
      </c>
      <c r="E159" t="s">
        <v>265</v>
      </c>
      <c r="F159" t="s">
        <v>94</v>
      </c>
      <c r="G159" t="s">
        <v>266</v>
      </c>
      <c r="H159" t="s">
        <v>51</v>
      </c>
      <c r="I159" t="s">
        <v>267</v>
      </c>
      <c r="J159" t="s">
        <v>268</v>
      </c>
      <c r="K159" s="41">
        <v>45622</v>
      </c>
      <c r="L159" s="34" t="s">
        <v>57</v>
      </c>
      <c r="M159" s="1" t="s">
        <v>55</v>
      </c>
      <c r="O159" s="1">
        <v>1.6</v>
      </c>
      <c r="P159" s="1">
        <v>1.26</v>
      </c>
      <c r="Q159" s="1">
        <v>1.1200000000000001</v>
      </c>
      <c r="R159" s="1">
        <v>1.8</v>
      </c>
      <c r="S159" s="1">
        <v>12.8</v>
      </c>
      <c r="T159" s="1">
        <v>6.415</v>
      </c>
      <c r="U159" s="1">
        <v>88.65</v>
      </c>
      <c r="V159" s="1">
        <v>17.899999999999999</v>
      </c>
      <c r="W159" s="1">
        <v>6.6850000000000005</v>
      </c>
      <c r="X159" s="1">
        <v>71.05</v>
      </c>
      <c r="Y159" s="1" t="s">
        <v>88</v>
      </c>
    </row>
    <row r="160" spans="1:25" ht="16.5" x14ac:dyDescent="0.3">
      <c r="A160" s="35">
        <v>2020</v>
      </c>
      <c r="B160" s="35" t="s">
        <v>285</v>
      </c>
      <c r="C160" s="55">
        <v>7</v>
      </c>
      <c r="D160" s="33" t="s">
        <v>264</v>
      </c>
      <c r="E160" s="33" t="s">
        <v>265</v>
      </c>
      <c r="F160" s="33" t="s">
        <v>94</v>
      </c>
      <c r="G160" s="33" t="s">
        <v>266</v>
      </c>
      <c r="H160" s="33" t="s">
        <v>51</v>
      </c>
      <c r="I160" s="33" t="s">
        <v>267</v>
      </c>
      <c r="J160" s="33" t="s">
        <v>268</v>
      </c>
      <c r="K160" s="37">
        <v>44067</v>
      </c>
      <c r="L160" s="34" t="s">
        <v>54</v>
      </c>
      <c r="M160" s="34" t="s">
        <v>55</v>
      </c>
      <c r="N160" s="35">
        <v>211</v>
      </c>
      <c r="O160" s="35">
        <v>0.9</v>
      </c>
      <c r="P160" s="35">
        <v>0.2</v>
      </c>
      <c r="Q160" s="35">
        <v>0.1</v>
      </c>
      <c r="R160" s="35">
        <v>4.7</v>
      </c>
      <c r="S160" s="35">
        <v>64.900000000000006</v>
      </c>
      <c r="T160" s="35">
        <v>5.78</v>
      </c>
      <c r="U160" s="35">
        <v>79.900000000000006</v>
      </c>
      <c r="V160" s="35">
        <v>19</v>
      </c>
      <c r="W160" s="35">
        <v>6.63</v>
      </c>
      <c r="X160" s="35">
        <v>68.8</v>
      </c>
      <c r="Y160" s="35">
        <v>21200</v>
      </c>
    </row>
    <row r="161" spans="1:25" ht="16.5" x14ac:dyDescent="0.3">
      <c r="A161" s="35">
        <v>2020</v>
      </c>
      <c r="B161" s="35" t="s">
        <v>286</v>
      </c>
      <c r="C161" s="55">
        <v>7</v>
      </c>
      <c r="D161" s="33" t="s">
        <v>264</v>
      </c>
      <c r="E161" s="33" t="s">
        <v>265</v>
      </c>
      <c r="F161" s="33" t="s">
        <v>94</v>
      </c>
      <c r="G161" s="33" t="s">
        <v>266</v>
      </c>
      <c r="H161" s="33" t="s">
        <v>51</v>
      </c>
      <c r="I161" s="33" t="s">
        <v>267</v>
      </c>
      <c r="J161" s="33" t="s">
        <v>268</v>
      </c>
      <c r="K161" s="37">
        <v>44158</v>
      </c>
      <c r="L161" s="34" t="s">
        <v>57</v>
      </c>
      <c r="M161" s="34" t="s">
        <v>55</v>
      </c>
      <c r="N161" s="35">
        <v>232</v>
      </c>
      <c r="O161" s="35">
        <v>0.9</v>
      </c>
      <c r="P161" s="35">
        <v>0.4</v>
      </c>
      <c r="Q161" s="35">
        <v>0.2</v>
      </c>
      <c r="R161" s="35">
        <v>2.2999999999999998</v>
      </c>
      <c r="S161" s="35">
        <v>23.3</v>
      </c>
      <c r="T161" s="35">
        <v>5.77</v>
      </c>
      <c r="U161" s="35">
        <v>86.7</v>
      </c>
      <c r="V161" s="35">
        <v>23</v>
      </c>
      <c r="W161" s="35">
        <v>6.78</v>
      </c>
      <c r="X161" s="35">
        <v>62.4</v>
      </c>
      <c r="Y161" s="35">
        <v>20210</v>
      </c>
    </row>
    <row r="162" spans="1:25" ht="16.5" x14ac:dyDescent="0.3">
      <c r="A162" s="35">
        <v>2021</v>
      </c>
      <c r="B162" s="35" t="s">
        <v>287</v>
      </c>
      <c r="C162" s="55">
        <v>7</v>
      </c>
      <c r="D162" s="33" t="s">
        <v>264</v>
      </c>
      <c r="E162" s="33" t="s">
        <v>265</v>
      </c>
      <c r="F162" s="33" t="s">
        <v>94</v>
      </c>
      <c r="G162" s="33" t="s">
        <v>266</v>
      </c>
      <c r="H162" s="33" t="s">
        <v>51</v>
      </c>
      <c r="I162" s="33" t="s">
        <v>267</v>
      </c>
      <c r="J162" s="33" t="s">
        <v>268</v>
      </c>
      <c r="K162" s="37">
        <v>44389</v>
      </c>
      <c r="L162" s="34" t="s">
        <v>59</v>
      </c>
      <c r="M162" s="34" t="s">
        <v>55</v>
      </c>
      <c r="N162" s="35">
        <v>301</v>
      </c>
      <c r="O162" s="35">
        <v>0.3</v>
      </c>
      <c r="P162" s="35">
        <v>0.1</v>
      </c>
      <c r="Q162" s="35">
        <v>0.1</v>
      </c>
      <c r="R162" s="35">
        <v>5.8</v>
      </c>
      <c r="S162" s="35">
        <v>10</v>
      </c>
      <c r="T162" s="35">
        <v>5.81</v>
      </c>
      <c r="U162" s="35">
        <v>88.1</v>
      </c>
      <c r="V162" s="35">
        <v>21</v>
      </c>
      <c r="W162" s="35">
        <v>7.28</v>
      </c>
      <c r="X162" s="35">
        <v>65.900000000000006</v>
      </c>
      <c r="Y162" s="35">
        <v>5278.37</v>
      </c>
    </row>
    <row r="163" spans="1:25" ht="16.5" x14ac:dyDescent="0.3">
      <c r="A163" s="35">
        <v>2019</v>
      </c>
      <c r="B163" s="35" t="s">
        <v>288</v>
      </c>
      <c r="C163" s="55">
        <v>7</v>
      </c>
      <c r="D163" s="33" t="s">
        <v>264</v>
      </c>
      <c r="E163" s="33" t="s">
        <v>265</v>
      </c>
      <c r="F163" s="33" t="s">
        <v>94</v>
      </c>
      <c r="G163" s="33" t="s">
        <v>266</v>
      </c>
      <c r="H163" s="33" t="s">
        <v>51</v>
      </c>
      <c r="I163" s="33" t="s">
        <v>267</v>
      </c>
      <c r="J163" s="33" t="s">
        <v>268</v>
      </c>
      <c r="K163" s="37">
        <v>43794</v>
      </c>
      <c r="L163" s="34" t="s">
        <v>57</v>
      </c>
      <c r="M163" s="34" t="s">
        <v>55</v>
      </c>
      <c r="N163" s="35">
        <v>165</v>
      </c>
      <c r="O163" s="35">
        <v>0.4</v>
      </c>
      <c r="P163" s="35">
        <v>0.1</v>
      </c>
      <c r="Q163" s="35">
        <v>0.1</v>
      </c>
      <c r="R163" s="35">
        <v>4.4000000000000004</v>
      </c>
      <c r="S163" s="35">
        <v>18.7</v>
      </c>
      <c r="T163" s="35">
        <v>6.32</v>
      </c>
      <c r="U163" s="35">
        <v>88.7</v>
      </c>
      <c r="V163" s="35">
        <v>20</v>
      </c>
      <c r="W163" s="35">
        <v>7.2</v>
      </c>
      <c r="X163" s="35">
        <v>63.7</v>
      </c>
      <c r="Y163" s="35">
        <v>18103.03</v>
      </c>
    </row>
    <row r="164" spans="1:25" ht="16.5" x14ac:dyDescent="0.3">
      <c r="A164" s="35">
        <v>2020</v>
      </c>
      <c r="B164" s="35" t="s">
        <v>289</v>
      </c>
      <c r="C164" s="55">
        <v>7</v>
      </c>
      <c r="D164" s="33" t="s">
        <v>264</v>
      </c>
      <c r="E164" s="33" t="s">
        <v>265</v>
      </c>
      <c r="F164" s="33" t="s">
        <v>94</v>
      </c>
      <c r="G164" s="33" t="s">
        <v>266</v>
      </c>
      <c r="H164" s="33" t="s">
        <v>51</v>
      </c>
      <c r="I164" s="33" t="s">
        <v>267</v>
      </c>
      <c r="J164" s="33" t="s">
        <v>268</v>
      </c>
      <c r="K164" s="37">
        <v>43885</v>
      </c>
      <c r="L164" s="34" t="s">
        <v>70</v>
      </c>
      <c r="M164" s="34" t="s">
        <v>71</v>
      </c>
      <c r="N164" s="35">
        <v>188</v>
      </c>
      <c r="O164" s="35">
        <v>0.4</v>
      </c>
      <c r="P164" s="35">
        <v>0.2</v>
      </c>
      <c r="Q164" s="35">
        <v>0.1</v>
      </c>
      <c r="R164" s="35">
        <v>4.5999999999999996</v>
      </c>
      <c r="S164" s="35">
        <v>29.8</v>
      </c>
      <c r="T164" s="35">
        <v>5.55</v>
      </c>
      <c r="U164" s="35">
        <v>75.3</v>
      </c>
      <c r="V164" s="35">
        <v>18.2</v>
      </c>
      <c r="W164" s="35">
        <v>7.33</v>
      </c>
      <c r="X164" s="35">
        <v>104.2</v>
      </c>
      <c r="Y164" s="35">
        <v>2593.9</v>
      </c>
    </row>
    <row r="165" spans="1:25" ht="16.5" x14ac:dyDescent="0.3">
      <c r="A165" s="35">
        <v>2021</v>
      </c>
      <c r="B165" s="35" t="s">
        <v>290</v>
      </c>
      <c r="C165" s="55">
        <v>7</v>
      </c>
      <c r="D165" s="33" t="s">
        <v>264</v>
      </c>
      <c r="E165" s="33" t="s">
        <v>265</v>
      </c>
      <c r="F165" s="33" t="s">
        <v>94</v>
      </c>
      <c r="G165" s="33" t="s">
        <v>266</v>
      </c>
      <c r="H165" s="33" t="s">
        <v>51</v>
      </c>
      <c r="I165" s="33" t="s">
        <v>267</v>
      </c>
      <c r="J165" s="33" t="s">
        <v>268</v>
      </c>
      <c r="K165" s="37">
        <v>44228</v>
      </c>
      <c r="L165" s="34" t="s">
        <v>70</v>
      </c>
      <c r="M165" s="34" t="s">
        <v>71</v>
      </c>
      <c r="N165" s="35">
        <v>255</v>
      </c>
      <c r="O165" s="35">
        <v>0.8</v>
      </c>
      <c r="P165" s="35">
        <v>0.3</v>
      </c>
      <c r="Q165" s="35">
        <v>0.14000000000000001</v>
      </c>
      <c r="R165" s="35">
        <v>2.1</v>
      </c>
      <c r="S165" s="35">
        <v>10</v>
      </c>
      <c r="T165" s="35">
        <v>7.21</v>
      </c>
      <c r="U165" s="35">
        <v>103.6</v>
      </c>
      <c r="V165" s="35">
        <v>20.399999999999999</v>
      </c>
      <c r="W165" s="35">
        <v>7.03</v>
      </c>
      <c r="X165" s="35">
        <v>93.3</v>
      </c>
      <c r="Y165" s="35">
        <v>1556.25</v>
      </c>
    </row>
    <row r="166" spans="1:25" ht="16.5" x14ac:dyDescent="0.3">
      <c r="A166" s="35">
        <v>2021</v>
      </c>
      <c r="B166" s="35" t="s">
        <v>291</v>
      </c>
      <c r="C166" s="55">
        <v>7</v>
      </c>
      <c r="D166" s="33" t="s">
        <v>264</v>
      </c>
      <c r="E166" s="33" t="s">
        <v>265</v>
      </c>
      <c r="F166" s="33" t="s">
        <v>94</v>
      </c>
      <c r="G166" s="33" t="s">
        <v>266</v>
      </c>
      <c r="H166" s="33" t="s">
        <v>51</v>
      </c>
      <c r="I166" s="33" t="s">
        <v>267</v>
      </c>
      <c r="J166" s="33" t="s">
        <v>268</v>
      </c>
      <c r="K166" s="37">
        <v>44529</v>
      </c>
      <c r="L166" s="34" t="s">
        <v>57</v>
      </c>
      <c r="M166" s="34" t="s">
        <v>55</v>
      </c>
      <c r="N166" s="35">
        <v>278</v>
      </c>
      <c r="O166" s="35">
        <v>0.9</v>
      </c>
      <c r="P166" s="35">
        <v>0.5</v>
      </c>
      <c r="Q166" s="35">
        <v>0.3</v>
      </c>
      <c r="R166" s="35">
        <v>0.6</v>
      </c>
      <c r="S166" s="35">
        <v>0</v>
      </c>
      <c r="T166" s="35">
        <v>6.39</v>
      </c>
      <c r="U166" s="35">
        <v>89.3</v>
      </c>
      <c r="V166" s="35">
        <v>19.5</v>
      </c>
      <c r="W166" s="35">
        <v>6.66</v>
      </c>
      <c r="X166" s="35">
        <v>44.9</v>
      </c>
      <c r="Y166" s="35" t="s">
        <v>88</v>
      </c>
    </row>
    <row r="167" spans="1:25" ht="16.5" x14ac:dyDescent="0.3">
      <c r="A167" s="35">
        <v>2022</v>
      </c>
      <c r="B167" s="35" t="s">
        <v>292</v>
      </c>
      <c r="C167" s="55">
        <v>7</v>
      </c>
      <c r="D167" s="33" t="s">
        <v>264</v>
      </c>
      <c r="E167" s="33" t="s">
        <v>265</v>
      </c>
      <c r="F167" s="33" t="s">
        <v>94</v>
      </c>
      <c r="G167" s="33" t="s">
        <v>266</v>
      </c>
      <c r="H167" s="33" t="s">
        <v>51</v>
      </c>
      <c r="I167" s="33" t="s">
        <v>267</v>
      </c>
      <c r="J167" s="33" t="s">
        <v>268</v>
      </c>
      <c r="K167" s="37">
        <v>44614</v>
      </c>
      <c r="L167" s="34" t="s">
        <v>70</v>
      </c>
      <c r="M167" s="34" t="s">
        <v>71</v>
      </c>
      <c r="N167" s="35">
        <v>135</v>
      </c>
      <c r="O167" s="35">
        <v>1.1000000000000001</v>
      </c>
      <c r="P167" s="35">
        <v>0.4</v>
      </c>
      <c r="Q167" s="35">
        <v>0.2</v>
      </c>
      <c r="R167" s="35">
        <v>4</v>
      </c>
      <c r="S167" s="35">
        <v>23</v>
      </c>
      <c r="T167" s="35">
        <v>6.51</v>
      </c>
      <c r="U167" s="35">
        <v>90.25</v>
      </c>
      <c r="V167" s="35">
        <v>19.100000000000001</v>
      </c>
      <c r="W167" s="35">
        <v>6.9649999999999999</v>
      </c>
      <c r="X167" s="35">
        <v>63.3</v>
      </c>
      <c r="Y167" s="35">
        <v>7895.5</v>
      </c>
    </row>
    <row r="168" spans="1:25" ht="16.5" x14ac:dyDescent="0.3">
      <c r="A168" s="35">
        <v>2022</v>
      </c>
      <c r="B168" s="35" t="s">
        <v>293</v>
      </c>
      <c r="C168" s="55">
        <v>7</v>
      </c>
      <c r="D168" s="33" t="s">
        <v>264</v>
      </c>
      <c r="E168" s="33" t="s">
        <v>265</v>
      </c>
      <c r="F168" s="33" t="s">
        <v>94</v>
      </c>
      <c r="G168" s="33" t="s">
        <v>266</v>
      </c>
      <c r="H168" s="33" t="s">
        <v>51</v>
      </c>
      <c r="I168" s="33" t="s">
        <v>267</v>
      </c>
      <c r="J168" s="33" t="s">
        <v>268</v>
      </c>
      <c r="K168" s="37">
        <v>44720</v>
      </c>
      <c r="L168" s="34" t="s">
        <v>76</v>
      </c>
      <c r="M168" s="34" t="s">
        <v>55</v>
      </c>
      <c r="N168" s="35">
        <v>145</v>
      </c>
      <c r="O168" s="35">
        <v>0.6</v>
      </c>
      <c r="P168" s="35">
        <v>0.3</v>
      </c>
      <c r="Q168" s="35">
        <v>0.2</v>
      </c>
      <c r="R168" s="35">
        <v>2.2999999999999998</v>
      </c>
      <c r="S168" s="35">
        <v>15.9</v>
      </c>
      <c r="T168" s="35">
        <v>6.8550000000000004</v>
      </c>
      <c r="U168" s="35">
        <v>91.2</v>
      </c>
      <c r="V168" s="35">
        <v>17</v>
      </c>
      <c r="W168" s="35">
        <v>6.95</v>
      </c>
      <c r="X168" s="35">
        <v>52.9</v>
      </c>
      <c r="Y168" s="35">
        <v>21383.7</v>
      </c>
    </row>
    <row r="169" spans="1:25" ht="16.5" x14ac:dyDescent="0.3">
      <c r="A169" s="35">
        <v>2022</v>
      </c>
      <c r="B169" s="35" t="s">
        <v>294</v>
      </c>
      <c r="C169" s="55">
        <v>7</v>
      </c>
      <c r="D169" s="33" t="s">
        <v>264</v>
      </c>
      <c r="E169" s="33" t="s">
        <v>265</v>
      </c>
      <c r="F169" s="33" t="s">
        <v>94</v>
      </c>
      <c r="G169" s="33" t="s">
        <v>266</v>
      </c>
      <c r="H169" s="33" t="s">
        <v>51</v>
      </c>
      <c r="I169" s="33" t="s">
        <v>267</v>
      </c>
      <c r="J169" s="33" t="s">
        <v>268</v>
      </c>
      <c r="K169" s="37">
        <v>44888</v>
      </c>
      <c r="L169" s="34" t="s">
        <v>57</v>
      </c>
      <c r="M169" s="34" t="s">
        <v>55</v>
      </c>
      <c r="N169" s="35">
        <v>155</v>
      </c>
      <c r="O169" s="35">
        <v>0.81</v>
      </c>
      <c r="P169" s="35">
        <v>0.4</v>
      </c>
      <c r="Q169" s="35">
        <v>0.23</v>
      </c>
      <c r="R169" s="35">
        <v>5.0999999999999996</v>
      </c>
      <c r="S169" s="35">
        <v>45.8</v>
      </c>
      <c r="T169" s="35">
        <v>6.75</v>
      </c>
      <c r="U169" s="35">
        <v>92</v>
      </c>
      <c r="V169" s="35">
        <v>18.100000000000001</v>
      </c>
      <c r="W169" s="35">
        <v>6.77</v>
      </c>
      <c r="X169" s="35">
        <v>51.9</v>
      </c>
      <c r="Y169" s="35" t="s">
        <v>88</v>
      </c>
    </row>
    <row r="170" spans="1:25" ht="16.5" x14ac:dyDescent="0.3">
      <c r="A170" s="35">
        <v>2023</v>
      </c>
      <c r="B170" s="35" t="s">
        <v>295</v>
      </c>
      <c r="C170" s="55">
        <v>7</v>
      </c>
      <c r="D170" s="33" t="s">
        <v>264</v>
      </c>
      <c r="E170" s="33" t="s">
        <v>265</v>
      </c>
      <c r="F170" s="33" t="s">
        <v>94</v>
      </c>
      <c r="G170" s="33" t="s">
        <v>266</v>
      </c>
      <c r="H170" s="33" t="s">
        <v>51</v>
      </c>
      <c r="I170" s="33" t="s">
        <v>267</v>
      </c>
      <c r="J170" s="33" t="s">
        <v>268</v>
      </c>
      <c r="K170" s="37">
        <v>44985</v>
      </c>
      <c r="L170" s="34" t="s">
        <v>70</v>
      </c>
      <c r="M170" s="34" t="s">
        <v>71</v>
      </c>
      <c r="N170" s="35">
        <v>105</v>
      </c>
      <c r="O170" s="35">
        <v>0.76</v>
      </c>
      <c r="P170" s="35">
        <v>0.28000000000000003</v>
      </c>
      <c r="Q170" s="35">
        <v>0.12</v>
      </c>
      <c r="R170" s="35">
        <v>3.4</v>
      </c>
      <c r="S170" s="35">
        <v>18.100000000000001</v>
      </c>
      <c r="T170" s="35">
        <v>7.84</v>
      </c>
      <c r="U170" s="35">
        <v>117.7</v>
      </c>
      <c r="V170" s="35">
        <v>22.6</v>
      </c>
      <c r="W170" s="35">
        <v>7.46</v>
      </c>
      <c r="X170" s="35">
        <v>122.35</v>
      </c>
      <c r="Y170" s="35" t="s">
        <v>88</v>
      </c>
    </row>
    <row r="171" spans="1:25" ht="16.5" x14ac:dyDescent="0.3">
      <c r="A171" s="35">
        <v>2020</v>
      </c>
      <c r="B171" s="35" t="s">
        <v>296</v>
      </c>
      <c r="C171" s="55">
        <v>3</v>
      </c>
      <c r="D171" s="33" t="s">
        <v>278</v>
      </c>
      <c r="E171" s="33" t="s">
        <v>279</v>
      </c>
      <c r="F171" s="33" t="s">
        <v>101</v>
      </c>
      <c r="G171" s="33" t="s">
        <v>183</v>
      </c>
      <c r="H171" s="33" t="s">
        <v>103</v>
      </c>
      <c r="I171" s="33" t="s">
        <v>280</v>
      </c>
      <c r="J171" s="33" t="s">
        <v>281</v>
      </c>
      <c r="K171" s="37">
        <v>44068</v>
      </c>
      <c r="L171" s="34" t="s">
        <v>54</v>
      </c>
      <c r="M171" s="34" t="s">
        <v>55</v>
      </c>
      <c r="N171" s="35">
        <v>225</v>
      </c>
      <c r="O171" s="35">
        <v>0.6</v>
      </c>
      <c r="P171" s="35">
        <v>0.2</v>
      </c>
      <c r="Q171" s="35">
        <v>0.1</v>
      </c>
      <c r="R171" s="35">
        <v>12.5</v>
      </c>
      <c r="S171" s="35">
        <v>34.799999999999997</v>
      </c>
      <c r="T171" s="35">
        <v>6.43</v>
      </c>
      <c r="U171" s="35">
        <v>85.9</v>
      </c>
      <c r="V171" s="35">
        <v>17.2</v>
      </c>
      <c r="W171" s="35">
        <v>7.43</v>
      </c>
      <c r="X171" s="35">
        <v>150.9</v>
      </c>
      <c r="Y171" s="35">
        <v>1649.75</v>
      </c>
    </row>
    <row r="172" spans="1:25" ht="16.5" x14ac:dyDescent="0.3">
      <c r="A172" s="35">
        <v>2020</v>
      </c>
      <c r="B172" s="35" t="s">
        <v>297</v>
      </c>
      <c r="C172" s="55">
        <v>3</v>
      </c>
      <c r="D172" s="33" t="s">
        <v>278</v>
      </c>
      <c r="E172" s="33" t="s">
        <v>279</v>
      </c>
      <c r="F172" s="33" t="s">
        <v>101</v>
      </c>
      <c r="G172" s="33" t="s">
        <v>183</v>
      </c>
      <c r="H172" s="33" t="s">
        <v>103</v>
      </c>
      <c r="I172" s="33" t="s">
        <v>280</v>
      </c>
      <c r="J172" s="33" t="s">
        <v>281</v>
      </c>
      <c r="K172" s="37">
        <v>44159</v>
      </c>
      <c r="L172" s="34" t="s">
        <v>57</v>
      </c>
      <c r="M172" s="34" t="s">
        <v>55</v>
      </c>
      <c r="N172" s="35">
        <v>248</v>
      </c>
      <c r="O172" s="35">
        <v>0.8</v>
      </c>
      <c r="P172" s="35">
        <v>0.4</v>
      </c>
      <c r="Q172" s="35">
        <v>0.3</v>
      </c>
      <c r="R172" s="35">
        <v>10.7</v>
      </c>
      <c r="S172" s="35">
        <v>35.299999999999997</v>
      </c>
      <c r="T172" s="35">
        <v>6.65</v>
      </c>
      <c r="U172" s="35">
        <v>87.7</v>
      </c>
      <c r="V172" s="35">
        <v>16.3</v>
      </c>
      <c r="W172" s="35">
        <v>7.35</v>
      </c>
      <c r="X172" s="35">
        <v>149.30000000000001</v>
      </c>
      <c r="Y172" s="35">
        <v>1984.8</v>
      </c>
    </row>
    <row r="173" spans="1:25" ht="16.5" x14ac:dyDescent="0.3">
      <c r="A173" s="35">
        <v>2021</v>
      </c>
      <c r="B173" s="35" t="s">
        <v>298</v>
      </c>
      <c r="C173" s="55">
        <v>3</v>
      </c>
      <c r="D173" s="33" t="s">
        <v>278</v>
      </c>
      <c r="E173" s="33" t="s">
        <v>279</v>
      </c>
      <c r="F173" s="33" t="s">
        <v>101</v>
      </c>
      <c r="G173" s="33" t="s">
        <v>183</v>
      </c>
      <c r="H173" s="33" t="s">
        <v>103</v>
      </c>
      <c r="I173" s="33" t="s">
        <v>280</v>
      </c>
      <c r="J173" s="33" t="s">
        <v>281</v>
      </c>
      <c r="K173" s="37">
        <v>44229</v>
      </c>
      <c r="L173" s="34" t="s">
        <v>70</v>
      </c>
      <c r="M173" s="34" t="s">
        <v>71</v>
      </c>
      <c r="N173" s="35">
        <v>271</v>
      </c>
      <c r="O173" s="35">
        <v>0.7</v>
      </c>
      <c r="P173" s="35">
        <v>0.34</v>
      </c>
      <c r="Q173" s="35">
        <v>0.2</v>
      </c>
      <c r="R173" s="35">
        <v>14.4</v>
      </c>
      <c r="S173" s="35">
        <v>33.1</v>
      </c>
      <c r="T173" s="35">
        <v>3.95</v>
      </c>
      <c r="U173" s="35">
        <v>53.8</v>
      </c>
      <c r="V173" s="35">
        <v>17.899999999999999</v>
      </c>
      <c r="W173" s="35">
        <v>7.47</v>
      </c>
      <c r="X173" s="35">
        <v>239</v>
      </c>
      <c r="Y173" s="35">
        <v>708.23</v>
      </c>
    </row>
    <row r="174" spans="1:25" ht="16.5" x14ac:dyDescent="0.3">
      <c r="A174" s="35">
        <v>2021</v>
      </c>
      <c r="B174" s="35" t="s">
        <v>299</v>
      </c>
      <c r="C174" s="55">
        <v>3</v>
      </c>
      <c r="D174" s="33" t="s">
        <v>278</v>
      </c>
      <c r="E174" s="33" t="s">
        <v>279</v>
      </c>
      <c r="F174" s="33" t="s">
        <v>101</v>
      </c>
      <c r="G174" s="33" t="s">
        <v>183</v>
      </c>
      <c r="H174" s="33" t="s">
        <v>103</v>
      </c>
      <c r="I174" s="33" t="s">
        <v>280</v>
      </c>
      <c r="J174" s="33" t="s">
        <v>281</v>
      </c>
      <c r="K174" s="37">
        <v>44529</v>
      </c>
      <c r="L174" s="34" t="s">
        <v>57</v>
      </c>
      <c r="M174" s="34" t="s">
        <v>55</v>
      </c>
      <c r="N174" s="35">
        <v>294</v>
      </c>
      <c r="O174" s="35">
        <v>1.1000000000000001</v>
      </c>
      <c r="P174" s="35">
        <v>0.57999999999999996</v>
      </c>
      <c r="Q174" s="35">
        <v>0.36</v>
      </c>
      <c r="R174" s="35">
        <v>3.3</v>
      </c>
      <c r="S174" s="35">
        <v>10.7</v>
      </c>
      <c r="T174" s="35">
        <v>6.68</v>
      </c>
      <c r="U174" s="35">
        <v>90.4</v>
      </c>
      <c r="V174" s="35">
        <v>17.7</v>
      </c>
      <c r="W174" s="35">
        <v>7.28</v>
      </c>
      <c r="X174" s="35">
        <v>130.1</v>
      </c>
      <c r="Y174" s="35" t="s">
        <v>88</v>
      </c>
    </row>
    <row r="175" spans="1:25" ht="16.5" x14ac:dyDescent="0.3">
      <c r="A175" s="35">
        <v>2022</v>
      </c>
      <c r="B175" s="35" t="s">
        <v>300</v>
      </c>
      <c r="C175" s="55">
        <v>3</v>
      </c>
      <c r="D175" s="33" t="s">
        <v>278</v>
      </c>
      <c r="E175" s="33" t="s">
        <v>279</v>
      </c>
      <c r="F175" s="33" t="s">
        <v>101</v>
      </c>
      <c r="G175" s="33" t="s">
        <v>183</v>
      </c>
      <c r="H175" s="33" t="s">
        <v>103</v>
      </c>
      <c r="I175" s="33" t="s">
        <v>280</v>
      </c>
      <c r="J175" s="33" t="s">
        <v>281</v>
      </c>
      <c r="K175" s="37">
        <v>44621</v>
      </c>
      <c r="L175" s="34" t="s">
        <v>130</v>
      </c>
      <c r="M175" s="34" t="s">
        <v>71</v>
      </c>
      <c r="N175" s="35">
        <v>55</v>
      </c>
      <c r="O175" s="35">
        <v>0.66</v>
      </c>
      <c r="P175" s="35">
        <v>0.26</v>
      </c>
      <c r="Q175" s="35">
        <v>0.14000000000000001</v>
      </c>
      <c r="R175" s="35">
        <v>10.199999999999999</v>
      </c>
      <c r="S175" s="35">
        <v>32</v>
      </c>
      <c r="T175" s="35">
        <v>6.6050000000000004</v>
      </c>
      <c r="U175" s="35">
        <v>87.2</v>
      </c>
      <c r="V175" s="35">
        <v>16.899999999999999</v>
      </c>
      <c r="W175" s="35">
        <v>7.29</v>
      </c>
      <c r="X175" s="35">
        <v>128.55000000000001</v>
      </c>
      <c r="Y175" s="35">
        <v>1295.7</v>
      </c>
    </row>
    <row r="176" spans="1:25" ht="16.5" x14ac:dyDescent="0.3">
      <c r="A176" s="35">
        <v>2023</v>
      </c>
      <c r="B176" s="35" t="s">
        <v>301</v>
      </c>
      <c r="C176" s="55">
        <v>2</v>
      </c>
      <c r="D176" s="33" t="s">
        <v>192</v>
      </c>
      <c r="E176" s="33" t="s">
        <v>193</v>
      </c>
      <c r="F176" s="33" t="s">
        <v>194</v>
      </c>
      <c r="G176" s="33" t="s">
        <v>64</v>
      </c>
      <c r="H176" s="33" t="s">
        <v>65</v>
      </c>
      <c r="I176" s="33" t="s">
        <v>195</v>
      </c>
      <c r="J176" s="33" t="s">
        <v>196</v>
      </c>
      <c r="K176" s="37">
        <v>45252</v>
      </c>
      <c r="L176" s="34" t="s">
        <v>57</v>
      </c>
      <c r="M176" s="34" t="s">
        <v>55</v>
      </c>
      <c r="N176" s="35">
        <v>46</v>
      </c>
      <c r="O176" s="35">
        <v>0.4</v>
      </c>
      <c r="P176" s="35">
        <v>0.18</v>
      </c>
      <c r="Q176" s="35">
        <v>0.02</v>
      </c>
      <c r="R176" s="35">
        <v>3.8</v>
      </c>
      <c r="S176" s="35">
        <v>14.9</v>
      </c>
      <c r="T176" s="35">
        <v>5.2350000000000003</v>
      </c>
      <c r="U176" s="35">
        <v>74.05</v>
      </c>
      <c r="V176" s="35">
        <v>19.8</v>
      </c>
      <c r="W176" s="35">
        <v>6.99</v>
      </c>
      <c r="X176" s="35">
        <v>115.25</v>
      </c>
      <c r="Y176" s="35" t="s">
        <v>88</v>
      </c>
    </row>
    <row r="177" spans="1:25" ht="16.5" x14ac:dyDescent="0.3">
      <c r="A177" s="1">
        <v>2024</v>
      </c>
      <c r="B177" s="1" t="s">
        <v>302</v>
      </c>
      <c r="C177" s="1">
        <v>2</v>
      </c>
      <c r="D177" t="s">
        <v>192</v>
      </c>
      <c r="E177" t="s">
        <v>193</v>
      </c>
      <c r="F177" t="s">
        <v>194</v>
      </c>
      <c r="G177" t="s">
        <v>64</v>
      </c>
      <c r="H177" t="s">
        <v>65</v>
      </c>
      <c r="I177" t="s">
        <v>195</v>
      </c>
      <c r="J177" t="s">
        <v>196</v>
      </c>
      <c r="K177" s="41">
        <v>45349</v>
      </c>
      <c r="L177" s="34" t="s">
        <v>70</v>
      </c>
      <c r="M177" t="s">
        <v>71</v>
      </c>
      <c r="N177"/>
      <c r="O177">
        <v>0.84</v>
      </c>
      <c r="P177">
        <v>0.38</v>
      </c>
      <c r="Q177">
        <v>0.2</v>
      </c>
      <c r="R177">
        <v>2.6</v>
      </c>
      <c r="S177">
        <v>7.9</v>
      </c>
      <c r="T177">
        <v>5.22</v>
      </c>
      <c r="U177">
        <v>77.5</v>
      </c>
      <c r="V177">
        <v>21.3</v>
      </c>
      <c r="W177">
        <v>7.2799999999999994</v>
      </c>
      <c r="X177">
        <v>122.35</v>
      </c>
      <c r="Y177" s="1" t="s">
        <v>88</v>
      </c>
    </row>
    <row r="178" spans="1:25" ht="16.5" x14ac:dyDescent="0.3">
      <c r="A178" s="1">
        <v>2024</v>
      </c>
      <c r="B178" s="1" t="s">
        <v>303</v>
      </c>
      <c r="C178" s="1">
        <v>2</v>
      </c>
      <c r="D178" t="s">
        <v>192</v>
      </c>
      <c r="E178" t="s">
        <v>193</v>
      </c>
      <c r="F178" t="s">
        <v>194</v>
      </c>
      <c r="G178" t="s">
        <v>64</v>
      </c>
      <c r="H178" t="s">
        <v>65</v>
      </c>
      <c r="I178" t="s">
        <v>195</v>
      </c>
      <c r="J178" t="s">
        <v>196</v>
      </c>
      <c r="K178" s="41">
        <v>45461</v>
      </c>
      <c r="L178" s="34" t="s">
        <v>76</v>
      </c>
      <c r="M178" s="34" t="s">
        <v>55</v>
      </c>
      <c r="N178"/>
      <c r="O178">
        <v>0.74</v>
      </c>
      <c r="P178">
        <v>0.3</v>
      </c>
      <c r="Q178">
        <v>0.16</v>
      </c>
      <c r="R178">
        <v>2.1</v>
      </c>
      <c r="S178">
        <v>20.2</v>
      </c>
      <c r="T178">
        <v>5.88</v>
      </c>
      <c r="U178">
        <v>85.25</v>
      </c>
      <c r="V178">
        <v>21.1</v>
      </c>
      <c r="W178">
        <v>7.2649999999999997</v>
      </c>
      <c r="X178">
        <v>118.2</v>
      </c>
      <c r="Y178" s="1" t="s">
        <v>88</v>
      </c>
    </row>
    <row r="179" spans="1:25" ht="16.5" x14ac:dyDescent="0.3">
      <c r="A179" s="1">
        <v>2024</v>
      </c>
      <c r="B179" s="1" t="s">
        <v>304</v>
      </c>
      <c r="C179" s="1">
        <v>2</v>
      </c>
      <c r="D179" t="s">
        <v>192</v>
      </c>
      <c r="E179" t="s">
        <v>193</v>
      </c>
      <c r="F179" t="s">
        <v>194</v>
      </c>
      <c r="G179" t="s">
        <v>64</v>
      </c>
      <c r="H179" t="s">
        <v>65</v>
      </c>
      <c r="I179" t="s">
        <v>195</v>
      </c>
      <c r="J179" t="s">
        <v>196</v>
      </c>
      <c r="K179" s="41">
        <v>45622</v>
      </c>
      <c r="L179" s="34" t="s">
        <v>57</v>
      </c>
      <c r="M179" t="s">
        <v>55</v>
      </c>
      <c r="N179"/>
      <c r="O179">
        <v>1.76</v>
      </c>
      <c r="P179">
        <v>1.3</v>
      </c>
      <c r="Q179">
        <v>1.22</v>
      </c>
      <c r="R179">
        <v>3.4</v>
      </c>
      <c r="S179">
        <v>14.8</v>
      </c>
      <c r="T179">
        <v>5.7799999999999994</v>
      </c>
      <c r="U179">
        <v>82.449999999999989</v>
      </c>
      <c r="V179">
        <v>19.8</v>
      </c>
      <c r="W179">
        <v>7.03</v>
      </c>
      <c r="X179">
        <v>108.19999999999999</v>
      </c>
      <c r="Y179" s="1" t="s">
        <v>88</v>
      </c>
    </row>
    <row r="180" spans="1:25" ht="16.5" x14ac:dyDescent="0.3">
      <c r="A180" s="35">
        <v>2023</v>
      </c>
      <c r="B180" s="35" t="s">
        <v>305</v>
      </c>
      <c r="C180" s="55">
        <v>2</v>
      </c>
      <c r="D180" s="33" t="s">
        <v>216</v>
      </c>
      <c r="E180" s="33" t="s">
        <v>217</v>
      </c>
      <c r="F180" s="33" t="s">
        <v>119</v>
      </c>
      <c r="G180" s="33" t="s">
        <v>218</v>
      </c>
      <c r="H180" s="33" t="s">
        <v>121</v>
      </c>
      <c r="I180" s="33" t="s">
        <v>219</v>
      </c>
      <c r="J180" s="33" t="s">
        <v>220</v>
      </c>
      <c r="K180" s="37">
        <v>45259</v>
      </c>
      <c r="L180" s="34" t="s">
        <v>57</v>
      </c>
      <c r="M180" s="34" t="s">
        <v>55</v>
      </c>
      <c r="N180" s="35">
        <v>52</v>
      </c>
      <c r="O180" s="35">
        <v>0.64</v>
      </c>
      <c r="P180" s="35">
        <v>0.26</v>
      </c>
      <c r="Q180" s="35">
        <v>0.14000000000000001</v>
      </c>
      <c r="R180" s="35">
        <v>14.5</v>
      </c>
      <c r="S180" s="35">
        <v>78</v>
      </c>
      <c r="T180" s="35">
        <v>4.7</v>
      </c>
      <c r="U180" s="35">
        <v>69.7</v>
      </c>
      <c r="V180" s="35">
        <v>21.6</v>
      </c>
      <c r="W180" s="35">
        <v>7.17</v>
      </c>
      <c r="X180" s="35">
        <v>160.6</v>
      </c>
      <c r="Y180" s="35" t="s">
        <v>88</v>
      </c>
    </row>
    <row r="181" spans="1:25" ht="16.5" x14ac:dyDescent="0.3">
      <c r="A181" s="1">
        <v>2024</v>
      </c>
      <c r="B181" s="1" t="s">
        <v>306</v>
      </c>
      <c r="C181" s="1">
        <v>2</v>
      </c>
      <c r="D181" t="s">
        <v>216</v>
      </c>
      <c r="E181" t="s">
        <v>217</v>
      </c>
      <c r="F181" t="s">
        <v>119</v>
      </c>
      <c r="G181" t="s">
        <v>218</v>
      </c>
      <c r="H181" t="s">
        <v>121</v>
      </c>
      <c r="I181" t="s">
        <v>219</v>
      </c>
      <c r="J181" t="s">
        <v>220</v>
      </c>
      <c r="K181" s="41">
        <v>45356</v>
      </c>
      <c r="L181" s="34" t="s">
        <v>130</v>
      </c>
      <c r="M181" t="s">
        <v>71</v>
      </c>
      <c r="N181"/>
      <c r="O181">
        <v>3.88</v>
      </c>
      <c r="P181">
        <v>2.46</v>
      </c>
      <c r="Q181">
        <v>1.7</v>
      </c>
      <c r="R181">
        <v>61.5</v>
      </c>
      <c r="S181">
        <v>156.6</v>
      </c>
      <c r="T181">
        <v>3.71</v>
      </c>
      <c r="U181">
        <v>55.400000000000006</v>
      </c>
      <c r="V181">
        <v>22.4</v>
      </c>
      <c r="W181">
        <v>7.1749999999999998</v>
      </c>
      <c r="X181">
        <v>293.5</v>
      </c>
      <c r="Y181" s="1" t="s">
        <v>88</v>
      </c>
    </row>
    <row r="182" spans="1:25" ht="16.5" x14ac:dyDescent="0.3">
      <c r="A182" s="1">
        <v>2024</v>
      </c>
      <c r="B182" s="1" t="s">
        <v>307</v>
      </c>
      <c r="C182" s="1">
        <v>2</v>
      </c>
      <c r="D182" t="s">
        <v>216</v>
      </c>
      <c r="E182" t="s">
        <v>217</v>
      </c>
      <c r="F182" t="s">
        <v>119</v>
      </c>
      <c r="G182" t="s">
        <v>218</v>
      </c>
      <c r="H182" t="s">
        <v>121</v>
      </c>
      <c r="I182" t="s">
        <v>219</v>
      </c>
      <c r="J182" t="s">
        <v>220</v>
      </c>
      <c r="K182" s="41">
        <v>45468</v>
      </c>
      <c r="L182" s="34" t="s">
        <v>76</v>
      </c>
      <c r="M182" s="34" t="s">
        <v>55</v>
      </c>
      <c r="N182"/>
      <c r="O182">
        <v>0.6</v>
      </c>
      <c r="P182">
        <v>0.26</v>
      </c>
      <c r="Q182">
        <v>0.16</v>
      </c>
      <c r="R182">
        <v>2.4</v>
      </c>
      <c r="S182">
        <v>37.270000000000003</v>
      </c>
      <c r="T182">
        <v>6.58</v>
      </c>
      <c r="U182">
        <v>93.75</v>
      </c>
      <c r="V182">
        <v>20.3</v>
      </c>
      <c r="W182">
        <v>7.0149999999999997</v>
      </c>
      <c r="X182">
        <v>102.2</v>
      </c>
      <c r="Y182" s="1" t="s">
        <v>88</v>
      </c>
    </row>
    <row r="183" spans="1:25" ht="16.5" x14ac:dyDescent="0.3">
      <c r="A183" s="1">
        <v>2024</v>
      </c>
      <c r="B183" s="1" t="s">
        <v>308</v>
      </c>
      <c r="C183" s="1">
        <v>2</v>
      </c>
      <c r="D183" t="s">
        <v>216</v>
      </c>
      <c r="E183" t="s">
        <v>217</v>
      </c>
      <c r="F183" t="s">
        <v>119</v>
      </c>
      <c r="G183" t="s">
        <v>218</v>
      </c>
      <c r="H183" t="s">
        <v>121</v>
      </c>
      <c r="I183" t="s">
        <v>219</v>
      </c>
      <c r="J183" t="s">
        <v>220</v>
      </c>
      <c r="K183" s="41">
        <v>45629</v>
      </c>
      <c r="L183" s="34" t="s">
        <v>201</v>
      </c>
      <c r="M183" t="s">
        <v>55</v>
      </c>
      <c r="N183"/>
      <c r="O183">
        <v>0.52</v>
      </c>
      <c r="P183">
        <v>0.18</v>
      </c>
      <c r="Q183">
        <v>0.22</v>
      </c>
      <c r="R183">
        <v>24.05</v>
      </c>
      <c r="S183">
        <v>113.1</v>
      </c>
      <c r="T183">
        <v>6.5250000000000004</v>
      </c>
      <c r="U183">
        <v>91.95</v>
      </c>
      <c r="V183">
        <v>19.5</v>
      </c>
      <c r="W183">
        <v>7.39</v>
      </c>
      <c r="X183">
        <v>153.1</v>
      </c>
      <c r="Y183" s="1" t="s">
        <v>88</v>
      </c>
    </row>
    <row r="184" spans="1:25" ht="16.5" x14ac:dyDescent="0.3">
      <c r="A184" s="35">
        <v>2023</v>
      </c>
      <c r="B184" s="35" t="s">
        <v>309</v>
      </c>
      <c r="C184" s="55">
        <v>7</v>
      </c>
      <c r="D184" s="33" t="s">
        <v>264</v>
      </c>
      <c r="E184" s="33" t="s">
        <v>265</v>
      </c>
      <c r="F184" s="33" t="s">
        <v>94</v>
      </c>
      <c r="G184" s="33" t="s">
        <v>266</v>
      </c>
      <c r="H184" s="33" t="s">
        <v>51</v>
      </c>
      <c r="I184" s="33" t="s">
        <v>267</v>
      </c>
      <c r="J184" s="33" t="s">
        <v>268</v>
      </c>
      <c r="K184" s="37">
        <v>45056</v>
      </c>
      <c r="L184" s="34" t="s">
        <v>85</v>
      </c>
      <c r="M184" s="34" t="s">
        <v>55</v>
      </c>
      <c r="N184" s="35">
        <v>115</v>
      </c>
      <c r="O184" s="35">
        <v>0.54</v>
      </c>
      <c r="P184" s="35">
        <v>0.16</v>
      </c>
      <c r="Q184" s="35">
        <v>0.04</v>
      </c>
      <c r="R184" s="35">
        <v>2.5</v>
      </c>
      <c r="S184" s="35">
        <v>13.2</v>
      </c>
      <c r="T184" s="35">
        <v>6.79</v>
      </c>
      <c r="U184" s="35">
        <v>103.7</v>
      </c>
      <c r="V184" s="35">
        <v>23.3</v>
      </c>
      <c r="W184" s="35">
        <v>7.1</v>
      </c>
      <c r="X184" s="35">
        <v>107.6</v>
      </c>
      <c r="Y184" s="35" t="s">
        <v>88</v>
      </c>
    </row>
    <row r="185" spans="1:25" ht="16.5" x14ac:dyDescent="0.3">
      <c r="A185" s="35">
        <v>2023</v>
      </c>
      <c r="B185" s="35" t="s">
        <v>310</v>
      </c>
      <c r="C185" s="55">
        <v>7</v>
      </c>
      <c r="D185" s="33" t="s">
        <v>264</v>
      </c>
      <c r="E185" s="33" t="s">
        <v>265</v>
      </c>
      <c r="F185" s="33" t="s">
        <v>94</v>
      </c>
      <c r="G185" s="33" t="s">
        <v>266</v>
      </c>
      <c r="H185" s="33" t="s">
        <v>51</v>
      </c>
      <c r="I185" s="33" t="s">
        <v>267</v>
      </c>
      <c r="J185" s="33" t="s">
        <v>268</v>
      </c>
      <c r="K185" s="37">
        <v>45252</v>
      </c>
      <c r="L185" s="34" t="s">
        <v>57</v>
      </c>
      <c r="M185" s="34" t="s">
        <v>55</v>
      </c>
      <c r="N185" s="35">
        <v>127</v>
      </c>
      <c r="O185" s="35">
        <v>0.32</v>
      </c>
      <c r="P185" s="35">
        <v>0.08</v>
      </c>
      <c r="Q185" s="35">
        <v>0.02</v>
      </c>
      <c r="R185" s="35">
        <v>2.7</v>
      </c>
      <c r="S185" s="35">
        <v>10.7</v>
      </c>
      <c r="T185" s="35">
        <v>6.13</v>
      </c>
      <c r="U185" s="35">
        <v>88.3</v>
      </c>
      <c r="V185" s="35">
        <v>20.9</v>
      </c>
      <c r="W185" s="35">
        <v>6.7949999999999999</v>
      </c>
      <c r="X185" s="35">
        <v>83.55</v>
      </c>
      <c r="Y185" s="35" t="s">
        <v>88</v>
      </c>
    </row>
    <row r="186" spans="1:25" ht="16.5" x14ac:dyDescent="0.3">
      <c r="A186" s="1">
        <v>2024</v>
      </c>
      <c r="B186" s="1" t="s">
        <v>311</v>
      </c>
      <c r="C186" s="1">
        <v>8</v>
      </c>
      <c r="D186" t="s">
        <v>312</v>
      </c>
      <c r="E186" t="s">
        <v>313</v>
      </c>
      <c r="F186" t="s">
        <v>94</v>
      </c>
      <c r="G186" t="s">
        <v>266</v>
      </c>
      <c r="H186" t="s">
        <v>51</v>
      </c>
      <c r="I186" t="s">
        <v>314</v>
      </c>
      <c r="J186" t="s">
        <v>315</v>
      </c>
      <c r="K186" s="41">
        <v>45349</v>
      </c>
      <c r="L186" s="34" t="s">
        <v>70</v>
      </c>
      <c r="M186" s="1" t="s">
        <v>71</v>
      </c>
      <c r="O186" s="1">
        <v>0.82</v>
      </c>
      <c r="P186" s="1">
        <v>0.34</v>
      </c>
      <c r="Q186" s="1">
        <v>0.18</v>
      </c>
      <c r="R186" s="1">
        <v>3.9</v>
      </c>
      <c r="S186" s="1">
        <v>14.4</v>
      </c>
      <c r="T186" s="1">
        <v>3.05</v>
      </c>
      <c r="U186" s="1">
        <v>43.55</v>
      </c>
      <c r="V186" s="1">
        <v>21.1</v>
      </c>
      <c r="W186" s="1">
        <v>7.0750000000000002</v>
      </c>
      <c r="X186" s="1">
        <v>205.05</v>
      </c>
      <c r="Y186" s="1" t="s">
        <v>88</v>
      </c>
    </row>
    <row r="187" spans="1:25" ht="16.5" x14ac:dyDescent="0.3">
      <c r="A187" s="1">
        <v>2024</v>
      </c>
      <c r="B187" s="1" t="s">
        <v>316</v>
      </c>
      <c r="C187" s="1">
        <v>8</v>
      </c>
      <c r="D187" t="s">
        <v>312</v>
      </c>
      <c r="E187" t="s">
        <v>313</v>
      </c>
      <c r="F187" t="s">
        <v>94</v>
      </c>
      <c r="G187" t="s">
        <v>266</v>
      </c>
      <c r="H187" t="s">
        <v>51</v>
      </c>
      <c r="I187" t="s">
        <v>314</v>
      </c>
      <c r="J187" t="s">
        <v>315</v>
      </c>
      <c r="K187" s="41">
        <v>45461</v>
      </c>
      <c r="L187" s="34" t="s">
        <v>76</v>
      </c>
      <c r="M187" s="34" t="s">
        <v>55</v>
      </c>
      <c r="O187" s="1">
        <v>0.66</v>
      </c>
      <c r="P187" s="1">
        <v>0.3</v>
      </c>
      <c r="Q187" s="1">
        <v>0.16</v>
      </c>
      <c r="R187" s="1">
        <v>3.4</v>
      </c>
      <c r="S187" s="1">
        <v>19.8</v>
      </c>
      <c r="T187" s="1">
        <v>5.665</v>
      </c>
      <c r="U187" s="1">
        <v>78.95</v>
      </c>
      <c r="V187" s="1">
        <v>19.7</v>
      </c>
      <c r="W187" s="1">
        <v>7.23</v>
      </c>
      <c r="X187" s="1">
        <v>81.150000000000006</v>
      </c>
      <c r="Y187" s="1" t="s">
        <v>88</v>
      </c>
    </row>
    <row r="188" spans="1:25" ht="16.5" x14ac:dyDescent="0.3">
      <c r="A188" s="1">
        <v>2024</v>
      </c>
      <c r="B188" s="1" t="s">
        <v>317</v>
      </c>
      <c r="C188" s="1">
        <v>8</v>
      </c>
      <c r="D188" t="s">
        <v>312</v>
      </c>
      <c r="E188" t="s">
        <v>313</v>
      </c>
      <c r="F188" t="s">
        <v>94</v>
      </c>
      <c r="G188" t="s">
        <v>266</v>
      </c>
      <c r="H188" t="s">
        <v>51</v>
      </c>
      <c r="I188" t="s">
        <v>314</v>
      </c>
      <c r="J188" t="s">
        <v>315</v>
      </c>
      <c r="K188" s="41">
        <v>45622</v>
      </c>
      <c r="L188" s="34" t="s">
        <v>57</v>
      </c>
      <c r="M188" s="1" t="s">
        <v>55</v>
      </c>
      <c r="O188" s="1">
        <v>2.2000000000000002</v>
      </c>
      <c r="P188" s="1">
        <v>1.46</v>
      </c>
      <c r="Q188" s="1">
        <v>1.3</v>
      </c>
      <c r="R188" s="1">
        <v>1.7</v>
      </c>
      <c r="S188" s="1">
        <v>9</v>
      </c>
      <c r="T188" s="1">
        <v>5.4350000000000005</v>
      </c>
      <c r="U188" s="1">
        <v>75.050000000000011</v>
      </c>
      <c r="V188" s="1">
        <v>19.100000000000001</v>
      </c>
      <c r="W188" s="1">
        <v>6.7949999999999999</v>
      </c>
      <c r="X188" s="1">
        <v>80.45</v>
      </c>
      <c r="Y188" s="1" t="s">
        <v>88</v>
      </c>
    </row>
    <row r="189" spans="1:25" ht="16.5" x14ac:dyDescent="0.3">
      <c r="A189" s="35">
        <v>2020</v>
      </c>
      <c r="B189" s="35" t="s">
        <v>318</v>
      </c>
      <c r="C189" s="55">
        <v>8</v>
      </c>
      <c r="D189" s="33" t="s">
        <v>312</v>
      </c>
      <c r="E189" s="33" t="s">
        <v>313</v>
      </c>
      <c r="F189" s="33" t="s">
        <v>94</v>
      </c>
      <c r="G189" s="33" t="s">
        <v>266</v>
      </c>
      <c r="H189" s="33" t="s">
        <v>51</v>
      </c>
      <c r="I189" s="33" t="s">
        <v>314</v>
      </c>
      <c r="J189" s="33" t="s">
        <v>315</v>
      </c>
      <c r="K189" s="37">
        <v>44067</v>
      </c>
      <c r="L189" s="34" t="s">
        <v>54</v>
      </c>
      <c r="M189" s="34" t="s">
        <v>55</v>
      </c>
      <c r="N189" s="35">
        <v>212</v>
      </c>
      <c r="O189" s="35">
        <v>0.8</v>
      </c>
      <c r="P189" s="35">
        <v>0.2</v>
      </c>
      <c r="Q189" s="35">
        <v>0.1</v>
      </c>
      <c r="R189" s="35">
        <v>3.1</v>
      </c>
      <c r="S189" s="35">
        <v>27.4</v>
      </c>
      <c r="T189" s="35">
        <v>4.9400000000000004</v>
      </c>
      <c r="U189" s="35">
        <v>67.599999999999994</v>
      </c>
      <c r="V189" s="35">
        <v>18.5</v>
      </c>
      <c r="W189" s="35">
        <v>6.55</v>
      </c>
      <c r="X189" s="35">
        <v>71.099999999999994</v>
      </c>
      <c r="Y189" s="35">
        <v>13950</v>
      </c>
    </row>
    <row r="190" spans="1:25" ht="16.5" x14ac:dyDescent="0.3">
      <c r="A190" s="35">
        <v>2020</v>
      </c>
      <c r="B190" s="35" t="s">
        <v>319</v>
      </c>
      <c r="C190" s="55">
        <v>8</v>
      </c>
      <c r="D190" s="33" t="s">
        <v>312</v>
      </c>
      <c r="E190" s="33" t="s">
        <v>313</v>
      </c>
      <c r="F190" s="33" t="s">
        <v>94</v>
      </c>
      <c r="G190" s="33" t="s">
        <v>266</v>
      </c>
      <c r="H190" s="33" t="s">
        <v>51</v>
      </c>
      <c r="I190" s="33" t="s">
        <v>314</v>
      </c>
      <c r="J190" s="33" t="s">
        <v>315</v>
      </c>
      <c r="K190" s="37">
        <v>44158</v>
      </c>
      <c r="L190" s="34" t="s">
        <v>57</v>
      </c>
      <c r="M190" s="34" t="s">
        <v>55</v>
      </c>
      <c r="N190" s="35">
        <v>233</v>
      </c>
      <c r="O190" s="35">
        <v>1.2</v>
      </c>
      <c r="P190" s="35">
        <v>0.6</v>
      </c>
      <c r="Q190" s="35">
        <v>0.4</v>
      </c>
      <c r="R190" s="35">
        <v>3.2</v>
      </c>
      <c r="S190" s="35">
        <v>21.6</v>
      </c>
      <c r="T190" s="35">
        <v>5.65</v>
      </c>
      <c r="U190" s="35">
        <v>81.2</v>
      </c>
      <c r="V190" s="35">
        <v>22</v>
      </c>
      <c r="W190" s="35">
        <v>7.07</v>
      </c>
      <c r="X190" s="35">
        <v>80.900000000000006</v>
      </c>
      <c r="Y190" s="35">
        <v>23540</v>
      </c>
    </row>
    <row r="191" spans="1:25" ht="16.5" x14ac:dyDescent="0.3">
      <c r="A191" s="35">
        <v>2021</v>
      </c>
      <c r="B191" s="35" t="s">
        <v>320</v>
      </c>
      <c r="C191" s="55">
        <v>8</v>
      </c>
      <c r="D191" s="33" t="s">
        <v>312</v>
      </c>
      <c r="E191" s="33" t="s">
        <v>313</v>
      </c>
      <c r="F191" s="33" t="s">
        <v>94</v>
      </c>
      <c r="G191" s="33" t="s">
        <v>266</v>
      </c>
      <c r="H191" s="33" t="s">
        <v>51</v>
      </c>
      <c r="I191" s="33" t="s">
        <v>314</v>
      </c>
      <c r="J191" s="33" t="s">
        <v>315</v>
      </c>
      <c r="K191" s="37">
        <v>44389</v>
      </c>
      <c r="L191" s="34" t="s">
        <v>59</v>
      </c>
      <c r="M191" s="34" t="s">
        <v>55</v>
      </c>
      <c r="N191" s="35">
        <v>302</v>
      </c>
      <c r="O191" s="35">
        <v>0.8</v>
      </c>
      <c r="P191" s="35">
        <v>0.4</v>
      </c>
      <c r="Q191" s="35">
        <v>0.2</v>
      </c>
      <c r="R191" s="35">
        <v>6.2</v>
      </c>
      <c r="S191" s="35">
        <v>10</v>
      </c>
      <c r="T191" s="35">
        <v>5.17</v>
      </c>
      <c r="U191" s="35">
        <v>76</v>
      </c>
      <c r="V191" s="35">
        <v>21.3</v>
      </c>
      <c r="W191" s="35">
        <v>7.33</v>
      </c>
      <c r="X191" s="35">
        <v>82.5</v>
      </c>
      <c r="Y191" s="35">
        <v>4332.01</v>
      </c>
    </row>
    <row r="192" spans="1:25" ht="16.5" x14ac:dyDescent="0.3">
      <c r="A192" s="35">
        <v>2019</v>
      </c>
      <c r="B192" s="35" t="s">
        <v>321</v>
      </c>
      <c r="C192" s="55">
        <v>8</v>
      </c>
      <c r="D192" s="33" t="s">
        <v>312</v>
      </c>
      <c r="E192" s="33" t="s">
        <v>313</v>
      </c>
      <c r="F192" s="33" t="s">
        <v>94</v>
      </c>
      <c r="G192" s="33" t="s">
        <v>266</v>
      </c>
      <c r="H192" s="33" t="s">
        <v>51</v>
      </c>
      <c r="I192" s="33" t="s">
        <v>314</v>
      </c>
      <c r="J192" s="33" t="s">
        <v>315</v>
      </c>
      <c r="K192" s="37">
        <v>43794</v>
      </c>
      <c r="L192" s="34" t="s">
        <v>57</v>
      </c>
      <c r="M192" s="34" t="s">
        <v>55</v>
      </c>
      <c r="N192" s="35">
        <v>166</v>
      </c>
      <c r="O192" s="35">
        <v>0.4</v>
      </c>
      <c r="P192" s="35">
        <v>0.1</v>
      </c>
      <c r="Q192" s="35">
        <v>0.1</v>
      </c>
      <c r="R192" s="35">
        <v>2.6</v>
      </c>
      <c r="S192" s="35">
        <v>16.5</v>
      </c>
      <c r="T192" s="35">
        <v>5.73</v>
      </c>
      <c r="U192" s="35">
        <v>81</v>
      </c>
      <c r="V192" s="35">
        <v>20.100000000000001</v>
      </c>
      <c r="W192" s="35">
        <v>7.09</v>
      </c>
      <c r="X192" s="35">
        <v>73.3</v>
      </c>
      <c r="Y192" s="35">
        <v>26114.080000000002</v>
      </c>
    </row>
    <row r="193" spans="1:25" ht="16.5" x14ac:dyDescent="0.3">
      <c r="A193" s="35">
        <v>2020</v>
      </c>
      <c r="B193" s="35" t="s">
        <v>322</v>
      </c>
      <c r="C193" s="55">
        <v>8</v>
      </c>
      <c r="D193" s="33" t="s">
        <v>312</v>
      </c>
      <c r="E193" s="33" t="s">
        <v>313</v>
      </c>
      <c r="F193" s="33" t="s">
        <v>94</v>
      </c>
      <c r="G193" s="33" t="s">
        <v>266</v>
      </c>
      <c r="H193" s="33" t="s">
        <v>51</v>
      </c>
      <c r="I193" s="33" t="s">
        <v>314</v>
      </c>
      <c r="J193" s="33" t="s">
        <v>315</v>
      </c>
      <c r="K193" s="37">
        <v>43885</v>
      </c>
      <c r="L193" s="34" t="s">
        <v>70</v>
      </c>
      <c r="M193" s="34" t="s">
        <v>71</v>
      </c>
      <c r="N193" s="35">
        <v>189</v>
      </c>
      <c r="O193" s="35">
        <v>0.4</v>
      </c>
      <c r="P193" s="35">
        <v>0.1</v>
      </c>
      <c r="Q193" s="35">
        <v>0.1</v>
      </c>
      <c r="R193" s="35">
        <v>3.7</v>
      </c>
      <c r="S193" s="35">
        <v>13.8</v>
      </c>
      <c r="T193" s="35">
        <v>4.5199999999999996</v>
      </c>
      <c r="U193" s="35">
        <v>62.4</v>
      </c>
      <c r="V193" s="35">
        <v>19.100000000000001</v>
      </c>
      <c r="W193" s="35">
        <v>7.44</v>
      </c>
      <c r="X193" s="35">
        <v>496</v>
      </c>
      <c r="Y193" s="35">
        <v>1512.32</v>
      </c>
    </row>
    <row r="194" spans="1:25" ht="16.5" x14ac:dyDescent="0.3">
      <c r="A194" s="35">
        <v>2022</v>
      </c>
      <c r="B194" s="35" t="s">
        <v>323</v>
      </c>
      <c r="C194" s="55">
        <v>3</v>
      </c>
      <c r="D194" s="33" t="s">
        <v>278</v>
      </c>
      <c r="E194" s="33" t="s">
        <v>279</v>
      </c>
      <c r="F194" s="33" t="s">
        <v>101</v>
      </c>
      <c r="G194" s="33" t="s">
        <v>183</v>
      </c>
      <c r="H194" s="33" t="s">
        <v>103</v>
      </c>
      <c r="I194" s="33" t="s">
        <v>280</v>
      </c>
      <c r="J194" s="33" t="s">
        <v>281</v>
      </c>
      <c r="K194" s="37">
        <v>44720</v>
      </c>
      <c r="L194" s="34" t="s">
        <v>76</v>
      </c>
      <c r="M194" s="34" t="s">
        <v>55</v>
      </c>
      <c r="N194" s="35">
        <v>68</v>
      </c>
      <c r="O194" s="35">
        <v>0.48</v>
      </c>
      <c r="P194" s="35">
        <v>0.28000000000000003</v>
      </c>
      <c r="Q194" s="35">
        <v>0.14000000000000001</v>
      </c>
      <c r="R194" s="35">
        <v>7.8</v>
      </c>
      <c r="S194" s="35">
        <v>17.8</v>
      </c>
      <c r="T194" s="35">
        <v>6.6150000000000002</v>
      </c>
      <c r="U194" s="35">
        <v>89.1</v>
      </c>
      <c r="V194" s="35">
        <v>17.2</v>
      </c>
      <c r="W194" s="35">
        <v>7.37</v>
      </c>
      <c r="X194" s="35">
        <v>106.3</v>
      </c>
      <c r="Y194" s="35">
        <v>2843.4</v>
      </c>
    </row>
    <row r="195" spans="1:25" ht="16.5" x14ac:dyDescent="0.3">
      <c r="A195" s="35">
        <v>2022</v>
      </c>
      <c r="B195" s="35" t="s">
        <v>324</v>
      </c>
      <c r="C195" s="55">
        <v>3</v>
      </c>
      <c r="D195" s="33" t="s">
        <v>278</v>
      </c>
      <c r="E195" s="33" t="s">
        <v>279</v>
      </c>
      <c r="F195" s="33" t="s">
        <v>101</v>
      </c>
      <c r="G195" s="33" t="s">
        <v>183</v>
      </c>
      <c r="H195" s="33" t="s">
        <v>103</v>
      </c>
      <c r="I195" s="33" t="s">
        <v>280</v>
      </c>
      <c r="J195" s="33" t="s">
        <v>281</v>
      </c>
      <c r="K195" s="37">
        <v>44888</v>
      </c>
      <c r="L195" s="34" t="s">
        <v>57</v>
      </c>
      <c r="M195" s="34" t="s">
        <v>55</v>
      </c>
      <c r="N195" s="35">
        <v>81</v>
      </c>
      <c r="O195" s="35">
        <v>0.44</v>
      </c>
      <c r="P195" s="35">
        <v>0.28000000000000003</v>
      </c>
      <c r="Q195" s="35">
        <v>0.08</v>
      </c>
      <c r="R195" s="35">
        <v>10.3</v>
      </c>
      <c r="S195" s="35">
        <v>29.5</v>
      </c>
      <c r="T195" s="35">
        <v>6.9550000000000001</v>
      </c>
      <c r="U195" s="35">
        <v>96.5</v>
      </c>
      <c r="V195" s="35">
        <v>18.3</v>
      </c>
      <c r="W195" s="35">
        <v>7.0750000000000002</v>
      </c>
      <c r="X195" s="35">
        <v>93.65</v>
      </c>
      <c r="Y195" s="35">
        <v>9004.5</v>
      </c>
    </row>
    <row r="196" spans="1:25" ht="16.5" x14ac:dyDescent="0.3">
      <c r="A196" s="35">
        <v>2023</v>
      </c>
      <c r="B196" s="35" t="s">
        <v>325</v>
      </c>
      <c r="C196" s="55">
        <v>3</v>
      </c>
      <c r="D196" s="33" t="s">
        <v>278</v>
      </c>
      <c r="E196" s="33" t="s">
        <v>279</v>
      </c>
      <c r="F196" s="33" t="s">
        <v>101</v>
      </c>
      <c r="G196" s="33" t="s">
        <v>183</v>
      </c>
      <c r="H196" s="33" t="s">
        <v>103</v>
      </c>
      <c r="I196" s="33" t="s">
        <v>280</v>
      </c>
      <c r="J196" s="33" t="s">
        <v>281</v>
      </c>
      <c r="K196" s="37">
        <v>44986</v>
      </c>
      <c r="L196" s="34" t="s">
        <v>130</v>
      </c>
      <c r="M196" s="34" t="s">
        <v>71</v>
      </c>
      <c r="N196" s="35">
        <v>20</v>
      </c>
      <c r="O196" s="35">
        <v>0.64</v>
      </c>
      <c r="P196" s="35">
        <v>0.3</v>
      </c>
      <c r="Q196" s="35">
        <v>0.18</v>
      </c>
      <c r="R196" s="35" t="s">
        <v>326</v>
      </c>
      <c r="S196" s="35">
        <v>57.6</v>
      </c>
      <c r="T196" s="35">
        <v>3.31</v>
      </c>
      <c r="U196" s="35">
        <v>44.95</v>
      </c>
      <c r="V196" s="35">
        <v>17.8</v>
      </c>
      <c r="W196" s="35">
        <v>7.0149999999999997</v>
      </c>
      <c r="X196" s="35">
        <v>229</v>
      </c>
      <c r="Y196" s="35">
        <v>625</v>
      </c>
    </row>
    <row r="197" spans="1:25" ht="16.5" x14ac:dyDescent="0.3">
      <c r="A197" s="35">
        <v>2023</v>
      </c>
      <c r="B197" s="35" t="s">
        <v>327</v>
      </c>
      <c r="C197" s="55">
        <v>3</v>
      </c>
      <c r="D197" s="33" t="s">
        <v>278</v>
      </c>
      <c r="E197" s="33" t="s">
        <v>279</v>
      </c>
      <c r="F197" s="33" t="s">
        <v>101</v>
      </c>
      <c r="G197" s="33" t="s">
        <v>183</v>
      </c>
      <c r="H197" s="33" t="s">
        <v>103</v>
      </c>
      <c r="I197" s="33" t="s">
        <v>280</v>
      </c>
      <c r="J197" s="33" t="s">
        <v>281</v>
      </c>
      <c r="K197" s="37">
        <v>45056</v>
      </c>
      <c r="L197" s="34" t="s">
        <v>85</v>
      </c>
      <c r="M197" s="34" t="s">
        <v>55</v>
      </c>
      <c r="N197" s="35">
        <v>33</v>
      </c>
      <c r="O197" s="35">
        <v>0.46</v>
      </c>
      <c r="P197" s="35">
        <v>0.16</v>
      </c>
      <c r="Q197" s="35">
        <v>0.08</v>
      </c>
      <c r="R197" s="35">
        <v>13.2</v>
      </c>
      <c r="S197" s="35">
        <v>33.5</v>
      </c>
      <c r="T197" s="35">
        <v>4.9400000000000004</v>
      </c>
      <c r="U197" s="35">
        <v>67.5</v>
      </c>
      <c r="V197" s="35">
        <v>18.2</v>
      </c>
      <c r="W197" s="35">
        <v>7.0949999999999998</v>
      </c>
      <c r="X197" s="35">
        <v>166.25</v>
      </c>
      <c r="Y197" s="35">
        <v>993.3</v>
      </c>
    </row>
    <row r="198" spans="1:25" ht="16.5" x14ac:dyDescent="0.3">
      <c r="A198" s="35">
        <v>2023</v>
      </c>
      <c r="B198" s="35" t="s">
        <v>328</v>
      </c>
      <c r="C198" s="55">
        <v>3</v>
      </c>
      <c r="D198" s="33" t="s">
        <v>278</v>
      </c>
      <c r="E198" s="33" t="s">
        <v>279</v>
      </c>
      <c r="F198" s="33" t="s">
        <v>101</v>
      </c>
      <c r="G198" s="33" t="s">
        <v>183</v>
      </c>
      <c r="H198" s="33" t="s">
        <v>103</v>
      </c>
      <c r="I198" s="33" t="s">
        <v>280</v>
      </c>
      <c r="J198" s="33" t="s">
        <v>281</v>
      </c>
      <c r="K198" s="37">
        <v>45251</v>
      </c>
      <c r="L198" s="34" t="s">
        <v>57</v>
      </c>
      <c r="M198" s="34" t="s">
        <v>55</v>
      </c>
      <c r="N198" s="35">
        <v>42</v>
      </c>
      <c r="O198" s="35">
        <v>0.2</v>
      </c>
      <c r="P198" s="35">
        <v>0.08</v>
      </c>
      <c r="Q198" s="35">
        <v>0.06</v>
      </c>
      <c r="R198" s="35">
        <v>10.3</v>
      </c>
      <c r="S198" s="35">
        <v>15.6</v>
      </c>
      <c r="T198" s="35">
        <v>6.09</v>
      </c>
      <c r="U198" s="35">
        <v>82.4</v>
      </c>
      <c r="V198" s="35">
        <v>17.600000000000001</v>
      </c>
      <c r="W198" s="35">
        <v>7.37</v>
      </c>
      <c r="X198" s="35">
        <v>108.95</v>
      </c>
      <c r="Y198" s="35">
        <v>1703.1</v>
      </c>
    </row>
    <row r="199" spans="1:25" ht="16.5" x14ac:dyDescent="0.3">
      <c r="A199" s="35">
        <v>2019</v>
      </c>
      <c r="B199" s="35" t="s">
        <v>329</v>
      </c>
      <c r="C199" s="55">
        <v>3</v>
      </c>
      <c r="D199" s="33" t="s">
        <v>330</v>
      </c>
      <c r="E199" s="33" t="s">
        <v>331</v>
      </c>
      <c r="F199" s="33" t="s">
        <v>194</v>
      </c>
      <c r="G199" s="33" t="s">
        <v>218</v>
      </c>
      <c r="H199" s="33" t="s">
        <v>121</v>
      </c>
      <c r="I199" s="33" t="s">
        <v>332</v>
      </c>
      <c r="J199" s="33" t="s">
        <v>333</v>
      </c>
      <c r="K199" s="37">
        <v>43794</v>
      </c>
      <c r="L199" s="34" t="s">
        <v>57</v>
      </c>
      <c r="M199" s="34" t="s">
        <v>55</v>
      </c>
      <c r="N199" s="35">
        <v>173</v>
      </c>
      <c r="O199" s="35">
        <v>0.5</v>
      </c>
      <c r="P199" s="35">
        <v>0.1</v>
      </c>
      <c r="Q199" s="35">
        <v>0.1</v>
      </c>
      <c r="R199" s="35">
        <v>6.4</v>
      </c>
      <c r="S199" s="35">
        <v>23.3</v>
      </c>
      <c r="T199" s="35">
        <v>4.24</v>
      </c>
      <c r="U199" s="35">
        <v>58.8</v>
      </c>
      <c r="V199" s="35">
        <v>19.399999999999999</v>
      </c>
      <c r="W199" s="35">
        <v>7.23</v>
      </c>
      <c r="X199" s="35">
        <v>113.7</v>
      </c>
      <c r="Y199" s="35">
        <v>2546.2800000000002</v>
      </c>
    </row>
    <row r="200" spans="1:25" ht="16.5" x14ac:dyDescent="0.3">
      <c r="A200" s="35">
        <v>2020</v>
      </c>
      <c r="B200" s="35" t="s">
        <v>334</v>
      </c>
      <c r="C200" s="55">
        <v>3</v>
      </c>
      <c r="D200" s="33" t="s">
        <v>330</v>
      </c>
      <c r="E200" s="33" t="s">
        <v>331</v>
      </c>
      <c r="F200" s="33" t="s">
        <v>194</v>
      </c>
      <c r="G200" s="33" t="s">
        <v>218</v>
      </c>
      <c r="H200" s="33" t="s">
        <v>121</v>
      </c>
      <c r="I200" s="33" t="s">
        <v>332</v>
      </c>
      <c r="J200" s="33" t="s">
        <v>333</v>
      </c>
      <c r="K200" s="37">
        <v>43885</v>
      </c>
      <c r="L200" s="34" t="s">
        <v>70</v>
      </c>
      <c r="M200" s="34" t="s">
        <v>71</v>
      </c>
      <c r="N200" s="35">
        <v>196</v>
      </c>
      <c r="O200" s="35">
        <v>1.1000000000000001</v>
      </c>
      <c r="P200" s="35">
        <v>0.5</v>
      </c>
      <c r="Q200" s="35">
        <v>0.3</v>
      </c>
      <c r="R200" s="35">
        <v>6.6</v>
      </c>
      <c r="S200" s="35">
        <v>44.2</v>
      </c>
      <c r="T200" s="35">
        <v>3.31</v>
      </c>
      <c r="U200" s="35">
        <v>45.6</v>
      </c>
      <c r="V200" s="35">
        <v>19</v>
      </c>
      <c r="W200" s="35">
        <v>7.34</v>
      </c>
      <c r="X200" s="35">
        <v>184.9</v>
      </c>
      <c r="Y200" s="35">
        <v>654.48</v>
      </c>
    </row>
    <row r="201" spans="1:25" ht="16.5" x14ac:dyDescent="0.3">
      <c r="A201" s="35">
        <v>2020</v>
      </c>
      <c r="B201" s="35" t="s">
        <v>335</v>
      </c>
      <c r="C201" s="55">
        <v>3</v>
      </c>
      <c r="D201" s="33" t="s">
        <v>330</v>
      </c>
      <c r="E201" s="33" t="s">
        <v>331</v>
      </c>
      <c r="F201" s="33" t="s">
        <v>194</v>
      </c>
      <c r="G201" s="33" t="s">
        <v>218</v>
      </c>
      <c r="H201" s="33" t="s">
        <v>121</v>
      </c>
      <c r="I201" s="33" t="s">
        <v>332</v>
      </c>
      <c r="J201" s="33" t="s">
        <v>333</v>
      </c>
      <c r="K201" s="37">
        <v>44067</v>
      </c>
      <c r="L201" s="34" t="s">
        <v>54</v>
      </c>
      <c r="M201" s="34" t="s">
        <v>55</v>
      </c>
      <c r="N201" s="35">
        <v>217</v>
      </c>
      <c r="O201" s="35">
        <v>0.6</v>
      </c>
      <c r="P201" s="35">
        <v>0.2</v>
      </c>
      <c r="Q201" s="35">
        <v>0.1</v>
      </c>
      <c r="R201" s="35">
        <v>6.2</v>
      </c>
      <c r="S201" s="35">
        <v>43.5</v>
      </c>
      <c r="T201" s="35">
        <v>5.1100000000000003</v>
      </c>
      <c r="U201" s="35">
        <v>70.3</v>
      </c>
      <c r="V201" s="35">
        <v>18.600000000000001</v>
      </c>
      <c r="W201" s="35">
        <v>7.02</v>
      </c>
      <c r="X201" s="35">
        <v>70.3</v>
      </c>
      <c r="Y201" s="35">
        <v>2040</v>
      </c>
    </row>
    <row r="202" spans="1:25" ht="16.5" x14ac:dyDescent="0.3">
      <c r="A202" s="35">
        <v>2020</v>
      </c>
      <c r="B202" s="35" t="s">
        <v>336</v>
      </c>
      <c r="C202" s="55">
        <v>3</v>
      </c>
      <c r="D202" s="33" t="s">
        <v>330</v>
      </c>
      <c r="E202" s="33" t="s">
        <v>331</v>
      </c>
      <c r="F202" s="33" t="s">
        <v>194</v>
      </c>
      <c r="G202" s="33" t="s">
        <v>218</v>
      </c>
      <c r="H202" s="33" t="s">
        <v>121</v>
      </c>
      <c r="I202" s="33" t="s">
        <v>332</v>
      </c>
      <c r="J202" s="33" t="s">
        <v>333</v>
      </c>
      <c r="K202" s="37">
        <v>44158</v>
      </c>
      <c r="L202" s="34" t="s">
        <v>57</v>
      </c>
      <c r="M202" s="34" t="s">
        <v>55</v>
      </c>
      <c r="N202" s="35">
        <v>240</v>
      </c>
      <c r="O202" s="35">
        <v>0.8</v>
      </c>
      <c r="P202" s="35">
        <v>0.4</v>
      </c>
      <c r="Q202" s="35">
        <v>0.3</v>
      </c>
      <c r="R202" s="35">
        <v>3.2</v>
      </c>
      <c r="S202" s="35">
        <v>18.600000000000001</v>
      </c>
      <c r="T202" s="35">
        <v>4.58</v>
      </c>
      <c r="U202" s="35">
        <v>62.6</v>
      </c>
      <c r="V202" s="35">
        <v>18.399999999999999</v>
      </c>
      <c r="W202" s="35">
        <v>6.95</v>
      </c>
      <c r="X202" s="35">
        <v>98.9</v>
      </c>
      <c r="Y202" s="35">
        <v>2100</v>
      </c>
    </row>
    <row r="203" spans="1:25" ht="16.5" x14ac:dyDescent="0.3">
      <c r="A203" s="35">
        <v>2021</v>
      </c>
      <c r="B203" s="35" t="s">
        <v>337</v>
      </c>
      <c r="C203" s="55">
        <v>3</v>
      </c>
      <c r="D203" s="33" t="s">
        <v>338</v>
      </c>
      <c r="E203" s="33" t="s">
        <v>339</v>
      </c>
      <c r="F203" s="33" t="s">
        <v>194</v>
      </c>
      <c r="G203" s="33" t="s">
        <v>64</v>
      </c>
      <c r="H203" s="33" t="s">
        <v>65</v>
      </c>
      <c r="I203" s="33" t="s">
        <v>340</v>
      </c>
      <c r="J203" s="33" t="s">
        <v>341</v>
      </c>
      <c r="K203" s="37">
        <v>44389</v>
      </c>
      <c r="L203" s="34" t="s">
        <v>59</v>
      </c>
      <c r="M203" s="34" t="s">
        <v>55</v>
      </c>
      <c r="N203" s="35">
        <v>313</v>
      </c>
      <c r="O203" s="35">
        <v>0.6</v>
      </c>
      <c r="P203" s="35">
        <v>0.2</v>
      </c>
      <c r="Q203" s="35">
        <v>0.2</v>
      </c>
      <c r="R203" s="35">
        <v>9.6</v>
      </c>
      <c r="S203" s="35">
        <v>18.8</v>
      </c>
      <c r="T203" s="35">
        <v>6.04</v>
      </c>
      <c r="U203" s="35">
        <v>88.1</v>
      </c>
      <c r="V203" s="35">
        <v>21.5</v>
      </c>
      <c r="W203" s="35">
        <v>7.06</v>
      </c>
      <c r="X203" s="35">
        <v>98.8</v>
      </c>
      <c r="Y203" s="35">
        <v>3735.21</v>
      </c>
    </row>
    <row r="204" spans="1:25" ht="16.5" x14ac:dyDescent="0.3">
      <c r="A204" s="35">
        <v>2019</v>
      </c>
      <c r="B204" s="35" t="s">
        <v>342</v>
      </c>
      <c r="C204" s="55">
        <v>3</v>
      </c>
      <c r="D204" s="33" t="s">
        <v>338</v>
      </c>
      <c r="E204" s="33" t="s">
        <v>339</v>
      </c>
      <c r="F204" s="33" t="s">
        <v>194</v>
      </c>
      <c r="G204" s="33" t="s">
        <v>64</v>
      </c>
      <c r="H204" s="33" t="s">
        <v>65</v>
      </c>
      <c r="I204" s="33" t="s">
        <v>340</v>
      </c>
      <c r="J204" s="33" t="s">
        <v>341</v>
      </c>
      <c r="K204" s="37">
        <v>43794</v>
      </c>
      <c r="L204" s="34" t="s">
        <v>57</v>
      </c>
      <c r="M204" s="34" t="s">
        <v>55</v>
      </c>
      <c r="N204" s="35">
        <v>177</v>
      </c>
      <c r="O204" s="35">
        <v>1.8</v>
      </c>
      <c r="P204" s="35">
        <v>0.8</v>
      </c>
      <c r="Q204" s="35">
        <v>0.4</v>
      </c>
      <c r="R204" s="35">
        <v>11.7</v>
      </c>
      <c r="S204" s="35">
        <v>74.400000000000006</v>
      </c>
      <c r="T204" s="35">
        <v>4.78</v>
      </c>
      <c r="U204" s="35">
        <v>68.7</v>
      </c>
      <c r="V204" s="35">
        <v>19.8</v>
      </c>
      <c r="W204" s="35">
        <v>7.17</v>
      </c>
      <c r="X204" s="35">
        <v>72.099999999999994</v>
      </c>
      <c r="Y204" s="35">
        <v>5830.53</v>
      </c>
    </row>
    <row r="205" spans="1:25" ht="16.5" x14ac:dyDescent="0.3">
      <c r="A205" s="35">
        <v>2020</v>
      </c>
      <c r="B205" s="35" t="s">
        <v>343</v>
      </c>
      <c r="C205" s="55">
        <v>3</v>
      </c>
      <c r="D205" s="33" t="s">
        <v>338</v>
      </c>
      <c r="E205" s="33" t="s">
        <v>339</v>
      </c>
      <c r="F205" s="33" t="s">
        <v>194</v>
      </c>
      <c r="G205" s="33" t="s">
        <v>64</v>
      </c>
      <c r="H205" s="33" t="s">
        <v>65</v>
      </c>
      <c r="I205" s="33" t="s">
        <v>340</v>
      </c>
      <c r="J205" s="33" t="s">
        <v>341</v>
      </c>
      <c r="K205" s="37">
        <v>43885</v>
      </c>
      <c r="L205" s="34" t="s">
        <v>70</v>
      </c>
      <c r="M205" s="34" t="s">
        <v>71</v>
      </c>
      <c r="N205" s="35">
        <v>200</v>
      </c>
      <c r="O205" s="35">
        <v>0.7</v>
      </c>
      <c r="P205" s="35">
        <v>0.3</v>
      </c>
      <c r="Q205" s="35">
        <v>0.2</v>
      </c>
      <c r="R205" s="35">
        <v>3.1</v>
      </c>
      <c r="S205" s="35">
        <v>15.6</v>
      </c>
      <c r="T205" s="35">
        <v>5.09</v>
      </c>
      <c r="U205" s="35">
        <v>72.8</v>
      </c>
      <c r="V205" s="35">
        <v>21</v>
      </c>
      <c r="W205" s="35">
        <v>7.29</v>
      </c>
      <c r="X205" s="35">
        <v>105.4</v>
      </c>
      <c r="Y205" s="35">
        <v>2559.4499999999998</v>
      </c>
    </row>
    <row r="206" spans="1:25" ht="16.5" x14ac:dyDescent="0.3">
      <c r="A206" s="35">
        <v>2020</v>
      </c>
      <c r="B206" s="35" t="s">
        <v>344</v>
      </c>
      <c r="C206" s="55">
        <v>3</v>
      </c>
      <c r="D206" s="33" t="s">
        <v>338</v>
      </c>
      <c r="E206" s="33" t="s">
        <v>339</v>
      </c>
      <c r="F206" s="33" t="s">
        <v>194</v>
      </c>
      <c r="G206" s="33" t="s">
        <v>64</v>
      </c>
      <c r="H206" s="33" t="s">
        <v>65</v>
      </c>
      <c r="I206" s="33" t="s">
        <v>340</v>
      </c>
      <c r="J206" s="33" t="s">
        <v>341</v>
      </c>
      <c r="K206" s="37">
        <v>44068</v>
      </c>
      <c r="L206" s="34" t="s">
        <v>54</v>
      </c>
      <c r="M206" s="34" t="s">
        <v>55</v>
      </c>
      <c r="N206" s="35">
        <v>221</v>
      </c>
      <c r="O206" s="35">
        <v>0.7</v>
      </c>
      <c r="P206" s="35">
        <v>0.2</v>
      </c>
      <c r="Q206" s="35">
        <v>0.1</v>
      </c>
      <c r="R206" s="35">
        <v>5.4</v>
      </c>
      <c r="S206" s="35">
        <v>29.1</v>
      </c>
      <c r="T206" s="35">
        <v>5.86</v>
      </c>
      <c r="U206" s="35">
        <v>85.6</v>
      </c>
      <c r="V206" s="35">
        <v>19.3</v>
      </c>
      <c r="W206" s="35">
        <v>7.09</v>
      </c>
      <c r="X206" s="35">
        <v>85.3</v>
      </c>
      <c r="Y206" s="35">
        <v>5250</v>
      </c>
    </row>
    <row r="207" spans="1:25" ht="16.5" x14ac:dyDescent="0.3">
      <c r="A207" s="35">
        <v>2021</v>
      </c>
      <c r="B207" s="35" t="s">
        <v>345</v>
      </c>
      <c r="C207" s="55">
        <v>8</v>
      </c>
      <c r="D207" s="33" t="s">
        <v>312</v>
      </c>
      <c r="E207" s="33" t="s">
        <v>313</v>
      </c>
      <c r="F207" s="33" t="s">
        <v>94</v>
      </c>
      <c r="G207" s="33" t="s">
        <v>266</v>
      </c>
      <c r="H207" s="33" t="s">
        <v>51</v>
      </c>
      <c r="I207" s="33" t="s">
        <v>314</v>
      </c>
      <c r="J207" s="33" t="s">
        <v>315</v>
      </c>
      <c r="K207" s="37">
        <v>44228</v>
      </c>
      <c r="L207" s="34" t="s">
        <v>70</v>
      </c>
      <c r="M207" s="34" t="s">
        <v>71</v>
      </c>
      <c r="N207" s="35">
        <v>256</v>
      </c>
      <c r="O207" s="35">
        <v>0.72</v>
      </c>
      <c r="P207" s="35">
        <v>0.28000000000000003</v>
      </c>
      <c r="Q207" s="35">
        <v>0.14000000000000001</v>
      </c>
      <c r="R207" s="35">
        <v>2.4</v>
      </c>
      <c r="S207" s="35">
        <v>20.5</v>
      </c>
      <c r="T207" s="35">
        <v>5.89</v>
      </c>
      <c r="U207" s="35">
        <v>84.6</v>
      </c>
      <c r="V207" s="35">
        <v>20.3</v>
      </c>
      <c r="W207" s="35">
        <v>7.01</v>
      </c>
      <c r="X207" s="35">
        <v>115.3</v>
      </c>
      <c r="Y207" s="35">
        <v>2451.2399999999998</v>
      </c>
    </row>
    <row r="208" spans="1:25" ht="16.5" x14ac:dyDescent="0.3">
      <c r="A208" s="35">
        <v>2021</v>
      </c>
      <c r="B208" s="35" t="s">
        <v>346</v>
      </c>
      <c r="C208" s="55">
        <v>8</v>
      </c>
      <c r="D208" s="33" t="s">
        <v>312</v>
      </c>
      <c r="E208" s="33" t="s">
        <v>313</v>
      </c>
      <c r="F208" s="33" t="s">
        <v>94</v>
      </c>
      <c r="G208" s="33" t="s">
        <v>266</v>
      </c>
      <c r="H208" s="33" t="s">
        <v>51</v>
      </c>
      <c r="I208" s="33" t="s">
        <v>314</v>
      </c>
      <c r="J208" s="33" t="s">
        <v>315</v>
      </c>
      <c r="K208" s="37">
        <v>44529</v>
      </c>
      <c r="L208" s="34" t="s">
        <v>57</v>
      </c>
      <c r="M208" s="34" t="s">
        <v>55</v>
      </c>
      <c r="N208" s="35">
        <v>279</v>
      </c>
      <c r="O208" s="35">
        <v>0.7</v>
      </c>
      <c r="P208" s="35">
        <v>0.3</v>
      </c>
      <c r="Q208" s="35">
        <v>0.2</v>
      </c>
      <c r="R208" s="35">
        <v>1.9</v>
      </c>
      <c r="S208" s="35">
        <v>17.5</v>
      </c>
      <c r="T208" s="35">
        <v>5.89</v>
      </c>
      <c r="U208" s="35">
        <v>83.1</v>
      </c>
      <c r="V208" s="35">
        <v>19.3</v>
      </c>
      <c r="W208" s="35">
        <v>6.73</v>
      </c>
      <c r="X208" s="35">
        <v>56.4</v>
      </c>
      <c r="Y208" s="35" t="s">
        <v>88</v>
      </c>
    </row>
    <row r="209" spans="1:25" ht="16.5" x14ac:dyDescent="0.3">
      <c r="A209" s="35">
        <v>2022</v>
      </c>
      <c r="B209" s="35" t="s">
        <v>347</v>
      </c>
      <c r="C209" s="55">
        <v>8</v>
      </c>
      <c r="D209" s="33" t="s">
        <v>312</v>
      </c>
      <c r="E209" s="33" t="s">
        <v>313</v>
      </c>
      <c r="F209" s="33" t="s">
        <v>94</v>
      </c>
      <c r="G209" s="33" t="s">
        <v>266</v>
      </c>
      <c r="H209" s="33" t="s">
        <v>51</v>
      </c>
      <c r="I209" s="33" t="s">
        <v>314</v>
      </c>
      <c r="J209" s="33" t="s">
        <v>315</v>
      </c>
      <c r="K209" s="37">
        <v>44614</v>
      </c>
      <c r="L209" s="34" t="s">
        <v>70</v>
      </c>
      <c r="M209" s="34" t="s">
        <v>71</v>
      </c>
      <c r="N209" s="35">
        <v>136</v>
      </c>
      <c r="O209" s="35">
        <v>1</v>
      </c>
      <c r="P209" s="35">
        <v>0.4</v>
      </c>
      <c r="Q209" s="35">
        <v>0.2</v>
      </c>
      <c r="R209" s="35">
        <v>6</v>
      </c>
      <c r="S209" s="35">
        <v>31.9</v>
      </c>
      <c r="T209" s="35">
        <v>5.8550000000000004</v>
      </c>
      <c r="U209" s="35">
        <v>81.45</v>
      </c>
      <c r="V209" s="35">
        <v>19.100000000000001</v>
      </c>
      <c r="W209" s="35">
        <v>6.78</v>
      </c>
      <c r="X209" s="35">
        <v>74.55</v>
      </c>
      <c r="Y209" s="35">
        <v>11336.2</v>
      </c>
    </row>
    <row r="210" spans="1:25" ht="16.5" x14ac:dyDescent="0.3">
      <c r="A210" s="35">
        <v>2022</v>
      </c>
      <c r="B210" s="35" t="s">
        <v>348</v>
      </c>
      <c r="C210" s="55">
        <v>8</v>
      </c>
      <c r="D210" s="33" t="s">
        <v>312</v>
      </c>
      <c r="E210" s="33" t="s">
        <v>313</v>
      </c>
      <c r="F210" s="33" t="s">
        <v>94</v>
      </c>
      <c r="G210" s="33" t="s">
        <v>266</v>
      </c>
      <c r="H210" s="33" t="s">
        <v>51</v>
      </c>
      <c r="I210" s="33" t="s">
        <v>314</v>
      </c>
      <c r="J210" s="33" t="s">
        <v>315</v>
      </c>
      <c r="K210" s="37">
        <v>44720</v>
      </c>
      <c r="L210" s="34" t="s">
        <v>76</v>
      </c>
      <c r="M210" s="34" t="s">
        <v>55</v>
      </c>
      <c r="N210" s="35">
        <v>146</v>
      </c>
      <c r="O210" s="35">
        <v>0.7</v>
      </c>
      <c r="P210" s="35">
        <v>0.4</v>
      </c>
      <c r="Q210" s="35">
        <v>0.3</v>
      </c>
      <c r="R210" s="35">
        <v>3.9</v>
      </c>
      <c r="S210" s="35">
        <v>23.4</v>
      </c>
      <c r="T210" s="35">
        <v>6.2649999999999997</v>
      </c>
      <c r="U210" s="35">
        <v>83.05</v>
      </c>
      <c r="V210" s="35">
        <v>16.899999999999999</v>
      </c>
      <c r="W210" s="35">
        <v>6.85</v>
      </c>
      <c r="X210" s="35">
        <v>61.5</v>
      </c>
      <c r="Y210" s="35">
        <v>41900.9</v>
      </c>
    </row>
    <row r="211" spans="1:25" ht="16.5" x14ac:dyDescent="0.3">
      <c r="A211" s="35">
        <v>2022</v>
      </c>
      <c r="B211" s="35" t="s">
        <v>349</v>
      </c>
      <c r="C211" s="55">
        <v>8</v>
      </c>
      <c r="D211" s="33" t="s">
        <v>312</v>
      </c>
      <c r="E211" s="33" t="s">
        <v>313</v>
      </c>
      <c r="F211" s="33" t="s">
        <v>94</v>
      </c>
      <c r="G211" s="33" t="s">
        <v>266</v>
      </c>
      <c r="H211" s="33" t="s">
        <v>51</v>
      </c>
      <c r="I211" s="33" t="s">
        <v>314</v>
      </c>
      <c r="J211" s="33" t="s">
        <v>315</v>
      </c>
      <c r="K211" s="37">
        <v>44888</v>
      </c>
      <c r="L211" s="34" t="s">
        <v>57</v>
      </c>
      <c r="M211" s="34" t="s">
        <v>55</v>
      </c>
      <c r="N211" s="35">
        <v>156</v>
      </c>
      <c r="O211" s="35">
        <v>0.57999999999999996</v>
      </c>
      <c r="P211" s="35">
        <v>0.24</v>
      </c>
      <c r="Q211" s="35">
        <v>0.12</v>
      </c>
      <c r="R211" s="35">
        <v>9.9</v>
      </c>
      <c r="S211" s="35">
        <v>48.4</v>
      </c>
      <c r="T211" s="35">
        <v>6.32</v>
      </c>
      <c r="U211" s="35">
        <v>86.1</v>
      </c>
      <c r="V211" s="35">
        <v>18</v>
      </c>
      <c r="W211" s="35">
        <v>6.64</v>
      </c>
      <c r="X211" s="35">
        <v>60.25</v>
      </c>
      <c r="Y211" s="35">
        <v>28932.799999999999</v>
      </c>
    </row>
    <row r="212" spans="1:25" ht="16.5" x14ac:dyDescent="0.3">
      <c r="A212" s="35">
        <v>2023</v>
      </c>
      <c r="B212" s="35" t="s">
        <v>350</v>
      </c>
      <c r="C212" s="55">
        <v>8</v>
      </c>
      <c r="D212" s="33" t="s">
        <v>312</v>
      </c>
      <c r="E212" s="33" t="s">
        <v>313</v>
      </c>
      <c r="F212" s="33" t="s">
        <v>94</v>
      </c>
      <c r="G212" s="33" t="s">
        <v>266</v>
      </c>
      <c r="H212" s="33" t="s">
        <v>51</v>
      </c>
      <c r="I212" s="33" t="s">
        <v>314</v>
      </c>
      <c r="J212" s="33" t="s">
        <v>315</v>
      </c>
      <c r="K212" s="37">
        <v>44985</v>
      </c>
      <c r="L212" s="34" t="s">
        <v>70</v>
      </c>
      <c r="M212" s="34" t="s">
        <v>71</v>
      </c>
      <c r="N212" s="35">
        <v>106</v>
      </c>
      <c r="O212" s="35">
        <v>1.02</v>
      </c>
      <c r="P212" s="35">
        <v>0.38</v>
      </c>
      <c r="Q212" s="35">
        <v>0.2</v>
      </c>
      <c r="R212" s="35">
        <v>6.2</v>
      </c>
      <c r="S212" s="35">
        <v>36</v>
      </c>
      <c r="T212" s="35">
        <v>7.03</v>
      </c>
      <c r="U212" s="35">
        <v>106.55</v>
      </c>
      <c r="V212" s="35">
        <v>22.8</v>
      </c>
      <c r="W212" s="35">
        <v>7.3449999999999998</v>
      </c>
      <c r="X212" s="35">
        <v>143.94999999999999</v>
      </c>
      <c r="Y212" s="35" t="s">
        <v>88</v>
      </c>
    </row>
    <row r="213" spans="1:25" ht="16.5" x14ac:dyDescent="0.3">
      <c r="A213" s="35">
        <v>2023</v>
      </c>
      <c r="B213" s="35" t="s">
        <v>351</v>
      </c>
      <c r="C213" s="55">
        <v>8</v>
      </c>
      <c r="D213" s="33" t="s">
        <v>312</v>
      </c>
      <c r="E213" s="33" t="s">
        <v>313</v>
      </c>
      <c r="F213" s="33" t="s">
        <v>94</v>
      </c>
      <c r="G213" s="33" t="s">
        <v>266</v>
      </c>
      <c r="H213" s="33" t="s">
        <v>51</v>
      </c>
      <c r="I213" s="33" t="s">
        <v>314</v>
      </c>
      <c r="J213" s="33" t="s">
        <v>315</v>
      </c>
      <c r="K213" s="37">
        <v>45056</v>
      </c>
      <c r="L213" s="34" t="s">
        <v>85</v>
      </c>
      <c r="M213" s="34" t="s">
        <v>55</v>
      </c>
      <c r="N213" s="35">
        <v>116</v>
      </c>
      <c r="O213" s="35">
        <v>0.6</v>
      </c>
      <c r="P213" s="35">
        <v>0.22</v>
      </c>
      <c r="Q213" s="35">
        <v>0.1</v>
      </c>
      <c r="R213" s="35">
        <v>3.6</v>
      </c>
      <c r="S213" s="35">
        <v>11.7</v>
      </c>
      <c r="T213" s="35">
        <v>5.84</v>
      </c>
      <c r="U213" s="35">
        <v>89.05</v>
      </c>
      <c r="V213" s="35">
        <v>23.9</v>
      </c>
      <c r="W213" s="35">
        <v>7.0250000000000004</v>
      </c>
      <c r="X213" s="35">
        <v>116.5</v>
      </c>
      <c r="Y213" s="35" t="s">
        <v>88</v>
      </c>
    </row>
    <row r="214" spans="1:25" ht="16.5" x14ac:dyDescent="0.3">
      <c r="A214" s="35">
        <v>2023</v>
      </c>
      <c r="B214" s="35" t="s">
        <v>352</v>
      </c>
      <c r="C214" s="55">
        <v>8</v>
      </c>
      <c r="D214" s="33" t="s">
        <v>312</v>
      </c>
      <c r="E214" s="33" t="s">
        <v>313</v>
      </c>
      <c r="F214" s="33" t="s">
        <v>94</v>
      </c>
      <c r="G214" s="33" t="s">
        <v>266</v>
      </c>
      <c r="H214" s="33" t="s">
        <v>51</v>
      </c>
      <c r="I214" s="33" t="s">
        <v>314</v>
      </c>
      <c r="J214" s="33" t="s">
        <v>315</v>
      </c>
      <c r="K214" s="37">
        <v>45252</v>
      </c>
      <c r="L214" s="34" t="s">
        <v>57</v>
      </c>
      <c r="M214" s="34" t="s">
        <v>55</v>
      </c>
      <c r="N214" s="35">
        <v>128</v>
      </c>
      <c r="O214" s="35">
        <v>0.24</v>
      </c>
      <c r="P214" s="35">
        <v>0.08</v>
      </c>
      <c r="Q214" s="35">
        <v>0.04</v>
      </c>
      <c r="R214" s="35">
        <v>3.8</v>
      </c>
      <c r="S214" s="35">
        <v>12</v>
      </c>
      <c r="T214" s="35">
        <v>4.8049999999999997</v>
      </c>
      <c r="U214" s="35">
        <v>68.05</v>
      </c>
      <c r="V214" s="35">
        <v>20.9</v>
      </c>
      <c r="W214" s="35">
        <v>6.75</v>
      </c>
      <c r="X214" s="35">
        <v>89.15</v>
      </c>
      <c r="Y214" s="35" t="s">
        <v>88</v>
      </c>
    </row>
    <row r="215" spans="1:25" ht="16.5" x14ac:dyDescent="0.3">
      <c r="A215" s="1">
        <v>2024</v>
      </c>
      <c r="B215" s="1" t="s">
        <v>353</v>
      </c>
      <c r="C215" s="1">
        <v>9</v>
      </c>
      <c r="D215" t="s">
        <v>354</v>
      </c>
      <c r="E215" t="s">
        <v>355</v>
      </c>
      <c r="F215" t="s">
        <v>94</v>
      </c>
      <c r="G215" t="s">
        <v>266</v>
      </c>
      <c r="H215" t="s">
        <v>51</v>
      </c>
      <c r="I215" t="s">
        <v>356</v>
      </c>
      <c r="J215" t="s">
        <v>357</v>
      </c>
      <c r="K215" s="41">
        <v>45349</v>
      </c>
      <c r="L215" s="34" t="s">
        <v>70</v>
      </c>
      <c r="M215" s="1" t="s">
        <v>71</v>
      </c>
      <c r="O215" s="1">
        <v>2.34</v>
      </c>
      <c r="P215" s="1">
        <v>1.38</v>
      </c>
      <c r="Q215" s="1">
        <v>0.9</v>
      </c>
      <c r="R215" s="1">
        <v>33.799999999999997</v>
      </c>
      <c r="S215" s="1">
        <v>72.599999999999994</v>
      </c>
      <c r="T215" s="1">
        <v>0.17499999999999999</v>
      </c>
      <c r="U215" s="1">
        <v>2.4000000000000004</v>
      </c>
      <c r="V215" s="1">
        <v>22</v>
      </c>
      <c r="W215" s="1">
        <v>7.1950000000000003</v>
      </c>
      <c r="X215" s="1">
        <v>297.5</v>
      </c>
      <c r="Y215" s="1" t="s">
        <v>88</v>
      </c>
    </row>
    <row r="216" spans="1:25" ht="16.5" x14ac:dyDescent="0.3">
      <c r="A216" s="1">
        <v>2024</v>
      </c>
      <c r="B216" s="1" t="s">
        <v>358</v>
      </c>
      <c r="C216" s="1">
        <v>9</v>
      </c>
      <c r="D216" t="s">
        <v>354</v>
      </c>
      <c r="E216" t="s">
        <v>355</v>
      </c>
      <c r="F216" t="s">
        <v>94</v>
      </c>
      <c r="G216" t="s">
        <v>266</v>
      </c>
      <c r="H216" t="s">
        <v>51</v>
      </c>
      <c r="I216" t="s">
        <v>356</v>
      </c>
      <c r="J216" t="s">
        <v>357</v>
      </c>
      <c r="K216" s="41">
        <v>45461</v>
      </c>
      <c r="L216" s="34" t="s">
        <v>76</v>
      </c>
      <c r="M216" s="34" t="s">
        <v>55</v>
      </c>
      <c r="O216" s="1">
        <v>0.84</v>
      </c>
      <c r="P216" s="1">
        <v>0.4</v>
      </c>
      <c r="Q216" s="1">
        <v>0.24</v>
      </c>
      <c r="R216" s="1">
        <v>4.2</v>
      </c>
      <c r="S216" s="1">
        <v>18.600000000000001</v>
      </c>
      <c r="T216" s="1">
        <v>5.1400000000000006</v>
      </c>
      <c r="U216" s="1">
        <v>71.5</v>
      </c>
      <c r="V216" s="1">
        <v>19.2</v>
      </c>
      <c r="W216" s="1">
        <v>7.2</v>
      </c>
      <c r="X216" s="1">
        <v>84.7</v>
      </c>
      <c r="Y216" s="1" t="s">
        <v>88</v>
      </c>
    </row>
    <row r="217" spans="1:25" ht="16.5" x14ac:dyDescent="0.3">
      <c r="A217" s="35">
        <v>2024</v>
      </c>
      <c r="B217" s="35" t="s">
        <v>359</v>
      </c>
      <c r="C217" s="55">
        <v>3</v>
      </c>
      <c r="D217" s="33" t="s">
        <v>278</v>
      </c>
      <c r="E217" s="33" t="s">
        <v>279</v>
      </c>
      <c r="F217" s="33" t="s">
        <v>101</v>
      </c>
      <c r="G217" s="33" t="s">
        <v>183</v>
      </c>
      <c r="H217" s="33" t="s">
        <v>103</v>
      </c>
      <c r="I217" s="33" t="s">
        <v>280</v>
      </c>
      <c r="J217" s="33" t="s">
        <v>281</v>
      </c>
      <c r="K217" s="37">
        <v>45349</v>
      </c>
      <c r="L217" s="34" t="s">
        <v>70</v>
      </c>
      <c r="M217" s="34" t="s">
        <v>71</v>
      </c>
      <c r="N217" s="35">
        <v>3</v>
      </c>
      <c r="O217" s="35">
        <v>2.52</v>
      </c>
      <c r="P217" s="35">
        <v>1.5</v>
      </c>
      <c r="Q217" s="35">
        <v>1</v>
      </c>
      <c r="R217" s="35">
        <v>26.6</v>
      </c>
      <c r="S217" s="35">
        <v>82.2</v>
      </c>
      <c r="T217" s="35">
        <v>1.02</v>
      </c>
      <c r="U217" s="35">
        <v>15.25</v>
      </c>
      <c r="V217" s="35">
        <v>22</v>
      </c>
      <c r="W217" s="35">
        <v>6.875</v>
      </c>
      <c r="X217" s="35">
        <v>306.5</v>
      </c>
      <c r="Y217" s="35">
        <v>435.3</v>
      </c>
    </row>
    <row r="218" spans="1:25" ht="16.5" x14ac:dyDescent="0.3">
      <c r="A218" s="1">
        <v>2024</v>
      </c>
      <c r="B218" s="1" t="s">
        <v>360</v>
      </c>
      <c r="C218" s="1">
        <v>3</v>
      </c>
      <c r="D218" t="s">
        <v>278</v>
      </c>
      <c r="E218" t="s">
        <v>279</v>
      </c>
      <c r="F218" t="s">
        <v>101</v>
      </c>
      <c r="G218" t="s">
        <v>183</v>
      </c>
      <c r="H218" t="s">
        <v>103</v>
      </c>
      <c r="I218" t="s">
        <v>280</v>
      </c>
      <c r="J218" t="s">
        <v>281</v>
      </c>
      <c r="K218" s="41">
        <v>45461</v>
      </c>
      <c r="L218" s="34" t="s">
        <v>76</v>
      </c>
      <c r="M218" s="34" t="s">
        <v>55</v>
      </c>
      <c r="O218" s="1">
        <v>0.5</v>
      </c>
      <c r="P218" s="1">
        <v>0.23</v>
      </c>
      <c r="Q218" s="1">
        <v>0.15</v>
      </c>
      <c r="R218" s="1">
        <v>8.8000000000000007</v>
      </c>
      <c r="S218" s="1">
        <v>26</v>
      </c>
      <c r="T218" s="1">
        <v>5.6749999999999998</v>
      </c>
      <c r="U218" s="1">
        <v>82</v>
      </c>
      <c r="V218" s="1">
        <v>20.8</v>
      </c>
      <c r="W218" s="1">
        <v>7.23</v>
      </c>
      <c r="X218" s="1">
        <v>130</v>
      </c>
      <c r="Y218" s="1">
        <v>2368.8000000000002</v>
      </c>
    </row>
    <row r="219" spans="1:25" ht="16.5" x14ac:dyDescent="0.3">
      <c r="A219" s="1">
        <v>2024</v>
      </c>
      <c r="B219" s="1" t="s">
        <v>361</v>
      </c>
      <c r="C219" s="1">
        <v>3</v>
      </c>
      <c r="D219" t="s">
        <v>278</v>
      </c>
      <c r="E219" t="s">
        <v>279</v>
      </c>
      <c r="F219" t="s">
        <v>101</v>
      </c>
      <c r="G219" t="s">
        <v>183</v>
      </c>
      <c r="H219" t="s">
        <v>103</v>
      </c>
      <c r="I219" t="s">
        <v>280</v>
      </c>
      <c r="J219" t="s">
        <v>281</v>
      </c>
      <c r="K219" s="41">
        <v>45622</v>
      </c>
      <c r="L219" s="34" t="s">
        <v>57</v>
      </c>
      <c r="M219" s="1" t="s">
        <v>55</v>
      </c>
      <c r="O219" s="1">
        <v>1.88</v>
      </c>
      <c r="P219" s="1">
        <v>1.38</v>
      </c>
      <c r="Q219" s="1">
        <v>1.1000000000000001</v>
      </c>
      <c r="R219" s="1">
        <v>12.7</v>
      </c>
      <c r="S219" s="1">
        <v>32.72</v>
      </c>
      <c r="T219" s="1">
        <v>5.17</v>
      </c>
      <c r="U219" s="1">
        <v>72.300000000000011</v>
      </c>
      <c r="V219" s="1">
        <v>19.5</v>
      </c>
      <c r="W219" s="1">
        <v>7.2450000000000001</v>
      </c>
      <c r="X219" s="1">
        <v>176.3</v>
      </c>
      <c r="Y219" s="1">
        <v>1408.4</v>
      </c>
    </row>
    <row r="220" spans="1:25" ht="16.5" x14ac:dyDescent="0.3">
      <c r="A220" s="35">
        <v>2021</v>
      </c>
      <c r="B220" s="35" t="s">
        <v>362</v>
      </c>
      <c r="C220" s="55">
        <v>4</v>
      </c>
      <c r="D220" s="33" t="s">
        <v>363</v>
      </c>
      <c r="E220" s="33" t="s">
        <v>364</v>
      </c>
      <c r="F220" s="33" t="s">
        <v>101</v>
      </c>
      <c r="G220" s="33" t="s">
        <v>183</v>
      </c>
      <c r="H220" s="33" t="s">
        <v>103</v>
      </c>
      <c r="I220" s="33" t="s">
        <v>365</v>
      </c>
      <c r="J220" s="33" t="s">
        <v>366</v>
      </c>
      <c r="K220" s="37">
        <v>44390</v>
      </c>
      <c r="L220" s="34" t="s">
        <v>59</v>
      </c>
      <c r="M220" s="34" t="s">
        <v>55</v>
      </c>
      <c r="N220" s="35">
        <v>318</v>
      </c>
      <c r="O220" s="35">
        <v>0.4</v>
      </c>
      <c r="P220" s="35">
        <v>0.2</v>
      </c>
      <c r="Q220" s="35">
        <v>0.1</v>
      </c>
      <c r="R220" s="35">
        <v>5.5</v>
      </c>
      <c r="S220" s="35">
        <v>11.6</v>
      </c>
      <c r="T220" s="35">
        <v>5.73</v>
      </c>
      <c r="U220" s="35">
        <v>78.2</v>
      </c>
      <c r="V220" s="35">
        <v>17.899999999999999</v>
      </c>
      <c r="W220" s="35">
        <v>6.84</v>
      </c>
      <c r="X220" s="35">
        <v>104.3</v>
      </c>
      <c r="Y220" s="35">
        <v>2051.1799999999998</v>
      </c>
    </row>
    <row r="221" spans="1:25" ht="16.5" x14ac:dyDescent="0.3">
      <c r="A221" s="35">
        <v>2019</v>
      </c>
      <c r="B221" s="35" t="s">
        <v>367</v>
      </c>
      <c r="C221" s="55">
        <v>4</v>
      </c>
      <c r="D221" s="33" t="s">
        <v>363</v>
      </c>
      <c r="E221" s="33" t="s">
        <v>364</v>
      </c>
      <c r="F221" s="33" t="s">
        <v>101</v>
      </c>
      <c r="G221" s="33" t="s">
        <v>183</v>
      </c>
      <c r="H221" s="33" t="s">
        <v>103</v>
      </c>
      <c r="I221" s="33" t="s">
        <v>365</v>
      </c>
      <c r="J221" s="33" t="s">
        <v>366</v>
      </c>
      <c r="K221" s="37">
        <v>43794</v>
      </c>
      <c r="L221" s="34" t="s">
        <v>57</v>
      </c>
      <c r="M221" s="34" t="s">
        <v>55</v>
      </c>
      <c r="N221" s="35">
        <v>182</v>
      </c>
      <c r="O221" s="35">
        <v>0.5</v>
      </c>
      <c r="P221" s="35">
        <v>0.2</v>
      </c>
      <c r="Q221" s="35">
        <v>0.1</v>
      </c>
      <c r="R221" s="35">
        <v>2.6</v>
      </c>
      <c r="S221" s="35">
        <v>14.2</v>
      </c>
      <c r="T221" s="35">
        <v>5.99</v>
      </c>
      <c r="U221" s="35">
        <v>79.2</v>
      </c>
      <c r="V221" s="35">
        <v>16.3</v>
      </c>
      <c r="W221" s="35">
        <v>7.25</v>
      </c>
      <c r="X221" s="35">
        <v>101.3</v>
      </c>
      <c r="Y221" s="35">
        <v>1397.87</v>
      </c>
    </row>
    <row r="222" spans="1:25" ht="16.5" x14ac:dyDescent="0.3">
      <c r="A222" s="35">
        <v>2021</v>
      </c>
      <c r="B222" s="35" t="s">
        <v>368</v>
      </c>
      <c r="C222" s="55">
        <v>3</v>
      </c>
      <c r="D222" s="33" t="s">
        <v>330</v>
      </c>
      <c r="E222" s="33" t="s">
        <v>331</v>
      </c>
      <c r="F222" s="33" t="s">
        <v>194</v>
      </c>
      <c r="G222" s="33" t="s">
        <v>218</v>
      </c>
      <c r="H222" s="33" t="s">
        <v>121</v>
      </c>
      <c r="I222" s="33" t="s">
        <v>332</v>
      </c>
      <c r="J222" s="33" t="s">
        <v>333</v>
      </c>
      <c r="K222" s="37">
        <v>44228</v>
      </c>
      <c r="L222" s="34" t="s">
        <v>70</v>
      </c>
      <c r="M222" s="34" t="s">
        <v>71</v>
      </c>
      <c r="N222" s="35">
        <v>263</v>
      </c>
      <c r="O222" s="35">
        <v>0.64</v>
      </c>
      <c r="P222" s="35">
        <v>0.28000000000000003</v>
      </c>
      <c r="Q222" s="35">
        <v>0.14000000000000001</v>
      </c>
      <c r="R222" s="35">
        <v>3.5</v>
      </c>
      <c r="S222" s="35">
        <v>16.7</v>
      </c>
      <c r="T222" s="35">
        <v>4.4800000000000004</v>
      </c>
      <c r="U222" s="35">
        <v>62.5</v>
      </c>
      <c r="V222" s="35">
        <v>19.3</v>
      </c>
      <c r="W222" s="35">
        <v>7.13</v>
      </c>
      <c r="X222" s="35">
        <v>107.5</v>
      </c>
      <c r="Y222" s="35">
        <v>920.84</v>
      </c>
    </row>
    <row r="223" spans="1:25" ht="16.5" x14ac:dyDescent="0.3">
      <c r="A223" s="35">
        <v>2021</v>
      </c>
      <c r="B223" s="35" t="s">
        <v>369</v>
      </c>
      <c r="C223" s="55">
        <v>3</v>
      </c>
      <c r="D223" s="33" t="s">
        <v>330</v>
      </c>
      <c r="E223" s="33" t="s">
        <v>331</v>
      </c>
      <c r="F223" s="33" t="s">
        <v>194</v>
      </c>
      <c r="G223" s="33" t="s">
        <v>218</v>
      </c>
      <c r="H223" s="33" t="s">
        <v>121</v>
      </c>
      <c r="I223" s="33" t="s">
        <v>332</v>
      </c>
      <c r="J223" s="33" t="s">
        <v>333</v>
      </c>
      <c r="K223" s="37">
        <v>44390</v>
      </c>
      <c r="L223" s="34" t="s">
        <v>59</v>
      </c>
      <c r="M223" s="34" t="s">
        <v>55</v>
      </c>
      <c r="N223" s="35">
        <v>309</v>
      </c>
      <c r="O223" s="35">
        <v>1.1000000000000001</v>
      </c>
      <c r="P223" s="35">
        <v>0.6</v>
      </c>
      <c r="Q223" s="35">
        <v>0.4</v>
      </c>
      <c r="R223" s="35">
        <v>9.6</v>
      </c>
      <c r="S223" s="35">
        <v>37.200000000000003</v>
      </c>
      <c r="T223" s="35">
        <v>6.32</v>
      </c>
      <c r="U223" s="35">
        <v>84.9</v>
      </c>
      <c r="V223" s="35">
        <v>17.899999999999999</v>
      </c>
      <c r="W223" s="35">
        <v>6.89</v>
      </c>
      <c r="X223" s="35">
        <v>64</v>
      </c>
      <c r="Y223" s="35">
        <v>1185.9000000000001</v>
      </c>
    </row>
    <row r="224" spans="1:25" ht="16.5" x14ac:dyDescent="0.3">
      <c r="A224" s="35">
        <v>2021</v>
      </c>
      <c r="B224" s="35" t="s">
        <v>370</v>
      </c>
      <c r="C224" s="55">
        <v>3</v>
      </c>
      <c r="D224" s="33" t="s">
        <v>330</v>
      </c>
      <c r="E224" s="33" t="s">
        <v>331</v>
      </c>
      <c r="F224" s="33" t="s">
        <v>194</v>
      </c>
      <c r="G224" s="33" t="s">
        <v>218</v>
      </c>
      <c r="H224" s="33" t="s">
        <v>121</v>
      </c>
      <c r="I224" s="33" t="s">
        <v>332</v>
      </c>
      <c r="J224" s="33" t="s">
        <v>333</v>
      </c>
      <c r="K224" s="37">
        <v>44529</v>
      </c>
      <c r="L224" s="34" t="s">
        <v>57</v>
      </c>
      <c r="M224" s="34" t="s">
        <v>55</v>
      </c>
      <c r="N224" s="35">
        <v>286</v>
      </c>
      <c r="O224" s="35">
        <v>0.8</v>
      </c>
      <c r="P224" s="35">
        <v>0.3</v>
      </c>
      <c r="Q224" s="35">
        <v>0.2</v>
      </c>
      <c r="R224" s="35">
        <v>0.7</v>
      </c>
      <c r="S224" s="35">
        <v>15.2</v>
      </c>
      <c r="T224" s="35">
        <v>4.7</v>
      </c>
      <c r="U224" s="35">
        <v>66.099999999999994</v>
      </c>
      <c r="V224" s="35">
        <v>19.600000000000001</v>
      </c>
      <c r="W224" s="35">
        <v>6.68</v>
      </c>
      <c r="X224" s="35">
        <v>77.900000000000006</v>
      </c>
      <c r="Y224" s="35" t="s">
        <v>88</v>
      </c>
    </row>
    <row r="225" spans="1:25" ht="16.5" x14ac:dyDescent="0.3">
      <c r="A225" s="35">
        <v>2022</v>
      </c>
      <c r="B225" s="35" t="s">
        <v>371</v>
      </c>
      <c r="C225" s="55">
        <v>3</v>
      </c>
      <c r="D225" s="33" t="s">
        <v>330</v>
      </c>
      <c r="E225" s="33" t="s">
        <v>331</v>
      </c>
      <c r="F225" s="33" t="s">
        <v>194</v>
      </c>
      <c r="G225" s="33" t="s">
        <v>218</v>
      </c>
      <c r="H225" s="33" t="s">
        <v>121</v>
      </c>
      <c r="I225" s="33" t="s">
        <v>332</v>
      </c>
      <c r="J225" s="33" t="s">
        <v>333</v>
      </c>
      <c r="K225" s="37">
        <v>44621</v>
      </c>
      <c r="L225" s="34" t="s">
        <v>130</v>
      </c>
      <c r="M225" s="34" t="s">
        <v>71</v>
      </c>
      <c r="N225" s="35">
        <v>64</v>
      </c>
      <c r="O225" s="35">
        <v>1.1399999999999999</v>
      </c>
      <c r="P225" s="35">
        <v>0.46</v>
      </c>
      <c r="Q225" s="35">
        <v>0.24</v>
      </c>
      <c r="R225" s="35">
        <v>14.3</v>
      </c>
      <c r="S225" s="35">
        <v>54.3</v>
      </c>
      <c r="T225" s="35">
        <v>4.0650000000000004</v>
      </c>
      <c r="U225" s="35">
        <v>55.75</v>
      </c>
      <c r="V225" s="35">
        <v>18.5</v>
      </c>
      <c r="W225" s="35">
        <v>6.5350000000000001</v>
      </c>
      <c r="X225" s="35">
        <v>77.2</v>
      </c>
      <c r="Y225" s="35">
        <v>2716.6</v>
      </c>
    </row>
    <row r="226" spans="1:25" ht="16.5" x14ac:dyDescent="0.3">
      <c r="A226" s="35">
        <v>2020</v>
      </c>
      <c r="B226" s="35" t="s">
        <v>372</v>
      </c>
      <c r="C226" s="55">
        <v>3</v>
      </c>
      <c r="D226" s="33" t="s">
        <v>338</v>
      </c>
      <c r="E226" s="33" t="s">
        <v>339</v>
      </c>
      <c r="F226" s="33" t="s">
        <v>194</v>
      </c>
      <c r="G226" s="33" t="s">
        <v>64</v>
      </c>
      <c r="H226" s="33" t="s">
        <v>65</v>
      </c>
      <c r="I226" s="33" t="s">
        <v>340</v>
      </c>
      <c r="J226" s="33" t="s">
        <v>341</v>
      </c>
      <c r="K226" s="37">
        <v>44159</v>
      </c>
      <c r="L226" s="34" t="s">
        <v>57</v>
      </c>
      <c r="M226" s="34" t="s">
        <v>55</v>
      </c>
      <c r="N226" s="35">
        <v>244</v>
      </c>
      <c r="O226" s="35">
        <v>0.6</v>
      </c>
      <c r="P226" s="35">
        <v>0.2</v>
      </c>
      <c r="Q226" s="35">
        <v>0.1</v>
      </c>
      <c r="R226" s="35">
        <v>2.5</v>
      </c>
      <c r="S226" s="35">
        <v>13.9</v>
      </c>
      <c r="T226" s="35">
        <v>5.66</v>
      </c>
      <c r="U226" s="35">
        <v>80.7</v>
      </c>
      <c r="V226" s="35">
        <v>21.9</v>
      </c>
      <c r="W226" s="35">
        <v>7.07</v>
      </c>
      <c r="X226" s="35">
        <v>91.6</v>
      </c>
      <c r="Y226" s="35">
        <v>3600</v>
      </c>
    </row>
    <row r="227" spans="1:25" ht="16.5" x14ac:dyDescent="0.3">
      <c r="A227" s="35">
        <v>2021</v>
      </c>
      <c r="B227" s="35" t="s">
        <v>373</v>
      </c>
      <c r="C227" s="55">
        <v>3</v>
      </c>
      <c r="D227" s="33" t="s">
        <v>338</v>
      </c>
      <c r="E227" s="33" t="s">
        <v>339</v>
      </c>
      <c r="F227" s="33" t="s">
        <v>194</v>
      </c>
      <c r="G227" s="33" t="s">
        <v>64</v>
      </c>
      <c r="H227" s="33" t="s">
        <v>65</v>
      </c>
      <c r="I227" s="33" t="s">
        <v>340</v>
      </c>
      <c r="J227" s="33" t="s">
        <v>341</v>
      </c>
      <c r="K227" s="37">
        <v>44229</v>
      </c>
      <c r="L227" s="34" t="s">
        <v>70</v>
      </c>
      <c r="M227" s="34" t="s">
        <v>71</v>
      </c>
      <c r="N227" s="35">
        <v>267</v>
      </c>
      <c r="O227" s="35">
        <v>0.62</v>
      </c>
      <c r="P227" s="35">
        <v>0.24</v>
      </c>
      <c r="Q227" s="35">
        <v>0.12</v>
      </c>
      <c r="R227" s="35">
        <v>10.199999999999999</v>
      </c>
      <c r="S227" s="35">
        <v>19.2</v>
      </c>
      <c r="T227" s="35">
        <v>3.99</v>
      </c>
      <c r="U227" s="35">
        <v>58.7</v>
      </c>
      <c r="V227" s="35">
        <v>21.6</v>
      </c>
      <c r="W227" s="35">
        <v>7.19</v>
      </c>
      <c r="X227" s="35">
        <v>118.5</v>
      </c>
      <c r="Y227" s="35">
        <v>2363</v>
      </c>
    </row>
    <row r="228" spans="1:25" ht="16.5" x14ac:dyDescent="0.3">
      <c r="A228" s="35">
        <v>2021</v>
      </c>
      <c r="B228" s="35" t="s">
        <v>374</v>
      </c>
      <c r="C228" s="55">
        <v>3</v>
      </c>
      <c r="D228" s="33" t="s">
        <v>338</v>
      </c>
      <c r="E228" s="33" t="s">
        <v>339</v>
      </c>
      <c r="F228" s="33" t="s">
        <v>194</v>
      </c>
      <c r="G228" s="33" t="s">
        <v>64</v>
      </c>
      <c r="H228" s="33" t="s">
        <v>65</v>
      </c>
      <c r="I228" s="33" t="s">
        <v>340</v>
      </c>
      <c r="J228" s="33" t="s">
        <v>341</v>
      </c>
      <c r="K228" s="37">
        <v>44529</v>
      </c>
      <c r="L228" s="34" t="s">
        <v>57</v>
      </c>
      <c r="M228" s="34" t="s">
        <v>55</v>
      </c>
      <c r="N228" s="35">
        <v>290</v>
      </c>
      <c r="O228" s="35">
        <v>0.94</v>
      </c>
      <c r="P228" s="35">
        <v>0.44</v>
      </c>
      <c r="Q228" s="35">
        <v>0.26</v>
      </c>
      <c r="R228" s="35">
        <v>2.2999999999999998</v>
      </c>
      <c r="S228" s="35">
        <v>22.6</v>
      </c>
      <c r="T228" s="35">
        <v>5.52</v>
      </c>
      <c r="U228" s="35">
        <v>78.3</v>
      </c>
      <c r="V228" s="35">
        <v>20</v>
      </c>
      <c r="W228" s="35">
        <v>6.9</v>
      </c>
      <c r="X228" s="35">
        <v>103.3</v>
      </c>
      <c r="Y228" s="35" t="s">
        <v>88</v>
      </c>
    </row>
    <row r="229" spans="1:25" ht="16.5" x14ac:dyDescent="0.3">
      <c r="A229" s="35">
        <v>2022</v>
      </c>
      <c r="B229" s="35" t="s">
        <v>375</v>
      </c>
      <c r="C229" s="55">
        <v>3</v>
      </c>
      <c r="D229" s="33" t="s">
        <v>338</v>
      </c>
      <c r="E229" s="33" t="s">
        <v>339</v>
      </c>
      <c r="F229" s="33" t="s">
        <v>194</v>
      </c>
      <c r="G229" s="33" t="s">
        <v>64</v>
      </c>
      <c r="H229" s="33" t="s">
        <v>65</v>
      </c>
      <c r="I229" s="33" t="s">
        <v>340</v>
      </c>
      <c r="J229" s="33" t="s">
        <v>341</v>
      </c>
      <c r="K229" s="37">
        <v>44621</v>
      </c>
      <c r="L229" s="34" t="s">
        <v>130</v>
      </c>
      <c r="M229" s="34" t="s">
        <v>71</v>
      </c>
      <c r="N229" s="35">
        <v>60</v>
      </c>
      <c r="O229" s="35">
        <v>0.98</v>
      </c>
      <c r="P229" s="35">
        <v>0.44</v>
      </c>
      <c r="Q229" s="35">
        <v>0.24</v>
      </c>
      <c r="R229" s="35">
        <v>9.1</v>
      </c>
      <c r="S229" s="35">
        <v>20.9</v>
      </c>
      <c r="T229" s="35">
        <v>4.3849999999999998</v>
      </c>
      <c r="U229" s="35">
        <v>59.8</v>
      </c>
      <c r="V229" s="35">
        <v>18.600000000000001</v>
      </c>
      <c r="W229" s="35">
        <v>7.12</v>
      </c>
      <c r="X229" s="35">
        <v>108.7</v>
      </c>
      <c r="Y229" s="35">
        <v>2572.4</v>
      </c>
    </row>
    <row r="230" spans="1:25" ht="16.5" x14ac:dyDescent="0.3">
      <c r="A230" s="1">
        <v>2024</v>
      </c>
      <c r="B230" s="1" t="s">
        <v>376</v>
      </c>
      <c r="C230" s="1">
        <v>9</v>
      </c>
      <c r="D230" t="s">
        <v>354</v>
      </c>
      <c r="E230" t="s">
        <v>355</v>
      </c>
      <c r="F230" t="s">
        <v>94</v>
      </c>
      <c r="G230" t="s">
        <v>266</v>
      </c>
      <c r="H230" t="s">
        <v>51</v>
      </c>
      <c r="I230" t="s">
        <v>356</v>
      </c>
      <c r="J230" t="s">
        <v>357</v>
      </c>
      <c r="K230" s="41">
        <v>45622</v>
      </c>
      <c r="L230" s="34" t="s">
        <v>57</v>
      </c>
      <c r="M230" s="1" t="s">
        <v>55</v>
      </c>
      <c r="O230" s="1">
        <v>1.92</v>
      </c>
      <c r="P230" s="1">
        <v>1.3</v>
      </c>
      <c r="Q230" s="1">
        <v>0.9</v>
      </c>
      <c r="R230" s="1">
        <v>11.7</v>
      </c>
      <c r="S230" s="1">
        <v>48</v>
      </c>
      <c r="T230" s="1">
        <v>4.4800000000000004</v>
      </c>
      <c r="U230" s="1">
        <v>62.3</v>
      </c>
      <c r="V230" s="1">
        <v>18.899999999999999</v>
      </c>
      <c r="W230" s="1">
        <v>6.74</v>
      </c>
      <c r="X230" s="1">
        <v>96.3</v>
      </c>
      <c r="Y230" s="1" t="s">
        <v>88</v>
      </c>
    </row>
    <row r="231" spans="1:25" ht="16.5" x14ac:dyDescent="0.3">
      <c r="A231" s="35">
        <v>2021</v>
      </c>
      <c r="B231" s="35" t="s">
        <v>377</v>
      </c>
      <c r="C231" s="55">
        <v>9</v>
      </c>
      <c r="D231" s="33" t="s">
        <v>354</v>
      </c>
      <c r="E231" s="33" t="s">
        <v>355</v>
      </c>
      <c r="F231" s="33" t="s">
        <v>94</v>
      </c>
      <c r="G231" s="33" t="s">
        <v>266</v>
      </c>
      <c r="H231" s="33" t="s">
        <v>51</v>
      </c>
      <c r="I231" s="33" t="s">
        <v>356</v>
      </c>
      <c r="J231" s="33" t="s">
        <v>357</v>
      </c>
      <c r="K231" s="37">
        <v>44389</v>
      </c>
      <c r="L231" s="34" t="s">
        <v>59</v>
      </c>
      <c r="M231" s="34" t="s">
        <v>55</v>
      </c>
      <c r="N231" s="35">
        <v>303</v>
      </c>
      <c r="O231" s="35">
        <v>0.8</v>
      </c>
      <c r="P231" s="35">
        <v>0.5</v>
      </c>
      <c r="Q231" s="35">
        <v>0.3</v>
      </c>
      <c r="R231" s="35">
        <v>7</v>
      </c>
      <c r="S231" s="35">
        <v>21.7</v>
      </c>
      <c r="T231" s="35">
        <v>4.55</v>
      </c>
      <c r="U231" s="35">
        <v>64.8</v>
      </c>
      <c r="V231" s="35">
        <v>20.2</v>
      </c>
      <c r="W231" s="35">
        <v>7.14</v>
      </c>
      <c r="X231" s="35">
        <v>98.6</v>
      </c>
      <c r="Y231" s="35">
        <v>1668.09</v>
      </c>
    </row>
    <row r="232" spans="1:25" ht="16.5" x14ac:dyDescent="0.3">
      <c r="A232" s="35">
        <v>2019</v>
      </c>
      <c r="B232" s="35" t="s">
        <v>378</v>
      </c>
      <c r="C232" s="55">
        <v>9</v>
      </c>
      <c r="D232" s="33" t="s">
        <v>354</v>
      </c>
      <c r="E232" s="33" t="s">
        <v>355</v>
      </c>
      <c r="F232" s="33" t="s">
        <v>94</v>
      </c>
      <c r="G232" s="33" t="s">
        <v>266</v>
      </c>
      <c r="H232" s="33" t="s">
        <v>51</v>
      </c>
      <c r="I232" s="33" t="s">
        <v>356</v>
      </c>
      <c r="J232" s="33" t="s">
        <v>357</v>
      </c>
      <c r="K232" s="37">
        <v>43794</v>
      </c>
      <c r="L232" s="34" t="s">
        <v>57</v>
      </c>
      <c r="M232" s="34" t="s">
        <v>55</v>
      </c>
      <c r="N232" s="35">
        <v>167</v>
      </c>
      <c r="O232" s="35">
        <v>0.4</v>
      </c>
      <c r="P232" s="35">
        <v>0.1</v>
      </c>
      <c r="Q232" s="35">
        <v>0.1</v>
      </c>
      <c r="R232" s="35">
        <v>5</v>
      </c>
      <c r="S232" s="35">
        <v>19.3</v>
      </c>
      <c r="T232" s="35">
        <v>5.0599999999999996</v>
      </c>
      <c r="U232" s="35">
        <v>71.7</v>
      </c>
      <c r="V232" s="35">
        <v>19.600000000000001</v>
      </c>
      <c r="W232" s="35">
        <v>6.75</v>
      </c>
      <c r="X232" s="35">
        <v>80</v>
      </c>
      <c r="Y232" s="35">
        <v>11041.71</v>
      </c>
    </row>
    <row r="233" spans="1:25" ht="16.5" x14ac:dyDescent="0.3">
      <c r="A233" s="35">
        <v>2020</v>
      </c>
      <c r="B233" s="35" t="s">
        <v>379</v>
      </c>
      <c r="C233" s="55">
        <v>9</v>
      </c>
      <c r="D233" s="33" t="s">
        <v>354</v>
      </c>
      <c r="E233" s="33" t="s">
        <v>355</v>
      </c>
      <c r="F233" s="33" t="s">
        <v>94</v>
      </c>
      <c r="G233" s="33" t="s">
        <v>266</v>
      </c>
      <c r="H233" s="33" t="s">
        <v>51</v>
      </c>
      <c r="I233" s="33" t="s">
        <v>356</v>
      </c>
      <c r="J233" s="33" t="s">
        <v>357</v>
      </c>
      <c r="K233" s="37">
        <v>43885</v>
      </c>
      <c r="L233" s="34" t="s">
        <v>70</v>
      </c>
      <c r="M233" s="34" t="s">
        <v>71</v>
      </c>
      <c r="N233" s="35">
        <v>190</v>
      </c>
      <c r="O233" s="35">
        <v>1.4</v>
      </c>
      <c r="P233" s="35">
        <v>0.8</v>
      </c>
      <c r="Q233" s="35">
        <v>0.5</v>
      </c>
      <c r="R233" s="35">
        <v>18.3</v>
      </c>
      <c r="S233" s="35">
        <v>65.400000000000006</v>
      </c>
      <c r="T233" s="35">
        <v>4.45</v>
      </c>
      <c r="U233" s="35">
        <v>60.2</v>
      </c>
      <c r="V233" s="35">
        <v>21.8</v>
      </c>
      <c r="W233" s="35">
        <v>6.86</v>
      </c>
      <c r="X233" s="35">
        <v>192.7</v>
      </c>
      <c r="Y233" s="35">
        <v>2139.62</v>
      </c>
    </row>
    <row r="234" spans="1:25" ht="16.5" x14ac:dyDescent="0.3">
      <c r="A234" s="35">
        <v>2020</v>
      </c>
      <c r="B234" s="35" t="s">
        <v>380</v>
      </c>
      <c r="C234" s="55">
        <v>9</v>
      </c>
      <c r="D234" s="33" t="s">
        <v>354</v>
      </c>
      <c r="E234" s="33" t="s">
        <v>355</v>
      </c>
      <c r="F234" s="33" t="s">
        <v>94</v>
      </c>
      <c r="G234" s="33" t="s">
        <v>266</v>
      </c>
      <c r="H234" s="33" t="s">
        <v>51</v>
      </c>
      <c r="I234" s="33" t="s">
        <v>356</v>
      </c>
      <c r="J234" s="33" t="s">
        <v>357</v>
      </c>
      <c r="K234" s="37">
        <v>44158</v>
      </c>
      <c r="L234" s="34" t="s">
        <v>57</v>
      </c>
      <c r="M234" s="34" t="s">
        <v>55</v>
      </c>
      <c r="N234" s="35">
        <v>234</v>
      </c>
      <c r="O234" s="35">
        <v>0.9</v>
      </c>
      <c r="P234" s="35">
        <v>0.4</v>
      </c>
      <c r="Q234" s="35">
        <v>0.2</v>
      </c>
      <c r="R234" s="35">
        <v>5.3</v>
      </c>
      <c r="S234" s="35">
        <v>23.1</v>
      </c>
      <c r="T234" s="35">
        <v>5.23</v>
      </c>
      <c r="U234" s="35">
        <v>76.5</v>
      </c>
      <c r="V234" s="35">
        <v>21.6</v>
      </c>
      <c r="W234" s="35">
        <v>6.82</v>
      </c>
      <c r="X234" s="35">
        <v>89.4</v>
      </c>
      <c r="Y234" s="35" t="s">
        <v>88</v>
      </c>
    </row>
    <row r="235" spans="1:25" ht="16.5" x14ac:dyDescent="0.3">
      <c r="A235" s="35">
        <v>2021</v>
      </c>
      <c r="B235" s="35" t="s">
        <v>381</v>
      </c>
      <c r="C235" s="55">
        <v>9</v>
      </c>
      <c r="D235" s="33" t="s">
        <v>354</v>
      </c>
      <c r="E235" s="33" t="s">
        <v>355</v>
      </c>
      <c r="F235" s="33" t="s">
        <v>94</v>
      </c>
      <c r="G235" s="33" t="s">
        <v>266</v>
      </c>
      <c r="H235" s="33" t="s">
        <v>51</v>
      </c>
      <c r="I235" s="33" t="s">
        <v>356</v>
      </c>
      <c r="J235" s="33" t="s">
        <v>357</v>
      </c>
      <c r="K235" s="37">
        <v>44228</v>
      </c>
      <c r="L235" s="34" t="s">
        <v>70</v>
      </c>
      <c r="M235" s="34" t="s">
        <v>71</v>
      </c>
      <c r="N235" s="35">
        <v>257</v>
      </c>
      <c r="O235" s="35">
        <v>0.68</v>
      </c>
      <c r="P235" s="35">
        <v>0.34</v>
      </c>
      <c r="Q235" s="35">
        <v>0.2</v>
      </c>
      <c r="R235" s="35">
        <v>22.2</v>
      </c>
      <c r="S235" s="35">
        <v>59.5</v>
      </c>
      <c r="T235" s="35">
        <v>1.93</v>
      </c>
      <c r="U235" s="35">
        <v>27.7</v>
      </c>
      <c r="V235" s="35">
        <v>20.3</v>
      </c>
      <c r="W235" s="35">
        <v>7.02</v>
      </c>
      <c r="X235" s="35">
        <v>170.6</v>
      </c>
      <c r="Y235" s="35" t="s">
        <v>88</v>
      </c>
    </row>
    <row r="236" spans="1:25" ht="16.5" x14ac:dyDescent="0.3">
      <c r="A236" s="35">
        <v>2021</v>
      </c>
      <c r="B236" s="35" t="s">
        <v>382</v>
      </c>
      <c r="C236" s="55">
        <v>9</v>
      </c>
      <c r="D236" s="33" t="s">
        <v>354</v>
      </c>
      <c r="E236" s="33" t="s">
        <v>355</v>
      </c>
      <c r="F236" s="33" t="s">
        <v>94</v>
      </c>
      <c r="G236" s="33" t="s">
        <v>266</v>
      </c>
      <c r="H236" s="33" t="s">
        <v>51</v>
      </c>
      <c r="I236" s="33" t="s">
        <v>356</v>
      </c>
      <c r="J236" s="33" t="s">
        <v>357</v>
      </c>
      <c r="K236" s="37">
        <v>44529</v>
      </c>
      <c r="L236" s="34" t="s">
        <v>57</v>
      </c>
      <c r="M236" s="34" t="s">
        <v>55</v>
      </c>
      <c r="N236" s="35">
        <v>280</v>
      </c>
      <c r="O236" s="35">
        <v>0.9</v>
      </c>
      <c r="P236" s="35">
        <v>0.4</v>
      </c>
      <c r="Q236" s="35">
        <v>0.2</v>
      </c>
      <c r="R236" s="35">
        <v>2.2000000000000002</v>
      </c>
      <c r="S236" s="35">
        <v>10.7</v>
      </c>
      <c r="T236" s="35">
        <v>5.66</v>
      </c>
      <c r="U236" s="35">
        <v>80</v>
      </c>
      <c r="V236" s="35">
        <v>19.7</v>
      </c>
      <c r="W236" s="35">
        <v>6.72</v>
      </c>
      <c r="X236" s="35">
        <v>63.3</v>
      </c>
      <c r="Y236" s="35" t="s">
        <v>88</v>
      </c>
    </row>
    <row r="237" spans="1:25" ht="16.5" x14ac:dyDescent="0.3">
      <c r="A237" s="35">
        <v>2022</v>
      </c>
      <c r="B237" s="35" t="s">
        <v>383</v>
      </c>
      <c r="C237" s="55">
        <v>9</v>
      </c>
      <c r="D237" s="33" t="s">
        <v>354</v>
      </c>
      <c r="E237" s="33" t="s">
        <v>355</v>
      </c>
      <c r="F237" s="33" t="s">
        <v>94</v>
      </c>
      <c r="G237" s="33" t="s">
        <v>266</v>
      </c>
      <c r="H237" s="33" t="s">
        <v>51</v>
      </c>
      <c r="I237" s="33" t="s">
        <v>356</v>
      </c>
      <c r="J237" s="33" t="s">
        <v>357</v>
      </c>
      <c r="K237" s="37">
        <v>44614</v>
      </c>
      <c r="L237" s="34" t="s">
        <v>70</v>
      </c>
      <c r="M237" s="34" t="s">
        <v>71</v>
      </c>
      <c r="N237" s="35">
        <v>137</v>
      </c>
      <c r="O237" s="35">
        <v>1</v>
      </c>
      <c r="P237" s="35">
        <v>0.4</v>
      </c>
      <c r="Q237" s="35">
        <v>0.2</v>
      </c>
      <c r="R237" s="35">
        <v>10.8</v>
      </c>
      <c r="S237" s="35">
        <v>39.799999999999997</v>
      </c>
      <c r="T237" s="35">
        <v>5.19</v>
      </c>
      <c r="U237" s="35">
        <v>70.95</v>
      </c>
      <c r="V237" s="35">
        <v>18.100000000000001</v>
      </c>
      <c r="W237" s="35">
        <v>6.7450000000000001</v>
      </c>
      <c r="X237" s="35">
        <v>90.85</v>
      </c>
      <c r="Y237" s="35" t="s">
        <v>88</v>
      </c>
    </row>
    <row r="238" spans="1:25" ht="16.5" x14ac:dyDescent="0.3">
      <c r="A238" s="35">
        <v>2022</v>
      </c>
      <c r="B238" s="35" t="s">
        <v>384</v>
      </c>
      <c r="C238" s="55">
        <v>3</v>
      </c>
      <c r="D238" s="33" t="s">
        <v>330</v>
      </c>
      <c r="E238" s="33" t="s">
        <v>331</v>
      </c>
      <c r="F238" s="33" t="s">
        <v>194</v>
      </c>
      <c r="G238" s="33" t="s">
        <v>218</v>
      </c>
      <c r="H238" s="33" t="s">
        <v>121</v>
      </c>
      <c r="I238" s="33" t="s">
        <v>332</v>
      </c>
      <c r="J238" s="33" t="s">
        <v>333</v>
      </c>
      <c r="K238" s="37">
        <v>44727</v>
      </c>
      <c r="L238" s="34" t="s">
        <v>76</v>
      </c>
      <c r="M238" s="34" t="s">
        <v>55</v>
      </c>
      <c r="N238" s="35">
        <v>73</v>
      </c>
      <c r="O238" s="35">
        <v>0.42</v>
      </c>
      <c r="P238" s="35">
        <v>0.14000000000000001</v>
      </c>
      <c r="Q238" s="35">
        <v>0.06</v>
      </c>
      <c r="R238" s="35">
        <v>5.7</v>
      </c>
      <c r="S238" s="35">
        <v>18.399999999999999</v>
      </c>
      <c r="T238" s="35">
        <v>5.24</v>
      </c>
      <c r="U238" s="35">
        <v>72.8</v>
      </c>
      <c r="V238" s="35">
        <v>18.7</v>
      </c>
      <c r="W238" s="35">
        <v>6.9249999999999998</v>
      </c>
      <c r="X238" s="35">
        <v>78.3</v>
      </c>
      <c r="Y238" s="35">
        <v>3466</v>
      </c>
    </row>
    <row r="239" spans="1:25" ht="16.5" x14ac:dyDescent="0.3">
      <c r="A239" s="35">
        <v>2022</v>
      </c>
      <c r="B239" s="35" t="s">
        <v>385</v>
      </c>
      <c r="C239" s="55">
        <v>3</v>
      </c>
      <c r="D239" s="33" t="s">
        <v>330</v>
      </c>
      <c r="E239" s="33" t="s">
        <v>331</v>
      </c>
      <c r="F239" s="33" t="s">
        <v>194</v>
      </c>
      <c r="G239" s="33" t="s">
        <v>218</v>
      </c>
      <c r="H239" s="33" t="s">
        <v>121</v>
      </c>
      <c r="I239" s="33" t="s">
        <v>332</v>
      </c>
      <c r="J239" s="33" t="s">
        <v>333</v>
      </c>
      <c r="K239" s="37">
        <v>44894</v>
      </c>
      <c r="L239" s="34" t="s">
        <v>57</v>
      </c>
      <c r="M239" s="34" t="s">
        <v>55</v>
      </c>
      <c r="N239" s="35">
        <v>86</v>
      </c>
      <c r="O239" s="35">
        <v>0.66</v>
      </c>
      <c r="P239" s="35">
        <v>0.22</v>
      </c>
      <c r="Q239" s="35">
        <v>0.08</v>
      </c>
      <c r="R239" s="35">
        <v>9.4</v>
      </c>
      <c r="S239" s="35">
        <v>58.3</v>
      </c>
      <c r="T239" s="35">
        <v>6.08</v>
      </c>
      <c r="U239" s="35">
        <v>82.15</v>
      </c>
      <c r="V239" s="35">
        <v>17.8</v>
      </c>
      <c r="W239" s="35">
        <v>6.7649999999999997</v>
      </c>
      <c r="X239" s="35">
        <v>67.349999999999994</v>
      </c>
      <c r="Y239" s="35" t="s">
        <v>88</v>
      </c>
    </row>
    <row r="240" spans="1:25" ht="16.5" x14ac:dyDescent="0.3">
      <c r="A240" s="35">
        <v>2023</v>
      </c>
      <c r="B240" s="35" t="s">
        <v>386</v>
      </c>
      <c r="C240" s="55">
        <v>3</v>
      </c>
      <c r="D240" s="33" t="s">
        <v>330</v>
      </c>
      <c r="E240" s="33" t="s">
        <v>331</v>
      </c>
      <c r="F240" s="33" t="s">
        <v>194</v>
      </c>
      <c r="G240" s="33" t="s">
        <v>218</v>
      </c>
      <c r="H240" s="33" t="s">
        <v>121</v>
      </c>
      <c r="I240" s="33" t="s">
        <v>332</v>
      </c>
      <c r="J240" s="33" t="s">
        <v>333</v>
      </c>
      <c r="K240" s="37">
        <v>44986</v>
      </c>
      <c r="L240" s="34" t="s">
        <v>130</v>
      </c>
      <c r="M240" s="34" t="s">
        <v>71</v>
      </c>
      <c r="N240" s="35">
        <v>16</v>
      </c>
      <c r="O240" s="35">
        <v>0.62</v>
      </c>
      <c r="P240" s="35">
        <v>0.22</v>
      </c>
      <c r="Q240" s="35">
        <v>0.1</v>
      </c>
      <c r="R240" s="35" t="s">
        <v>387</v>
      </c>
      <c r="S240" s="35">
        <v>27.9</v>
      </c>
      <c r="T240" s="35">
        <v>3.8250000000000002</v>
      </c>
      <c r="U240" s="35">
        <v>55.6</v>
      </c>
      <c r="V240" s="35">
        <v>21.2</v>
      </c>
      <c r="W240" s="35">
        <v>6.63</v>
      </c>
      <c r="X240" s="35">
        <v>116.3</v>
      </c>
      <c r="Y240" s="35">
        <v>1204.5</v>
      </c>
    </row>
    <row r="241" spans="1:25" ht="16.5" x14ac:dyDescent="0.3">
      <c r="A241" s="35">
        <v>2023</v>
      </c>
      <c r="B241" s="35" t="s">
        <v>388</v>
      </c>
      <c r="C241" s="55">
        <v>3</v>
      </c>
      <c r="D241" s="33" t="s">
        <v>330</v>
      </c>
      <c r="E241" s="33" t="s">
        <v>331</v>
      </c>
      <c r="F241" s="33" t="s">
        <v>194</v>
      </c>
      <c r="G241" s="33" t="s">
        <v>218</v>
      </c>
      <c r="H241" s="33" t="s">
        <v>121</v>
      </c>
      <c r="I241" s="33" t="s">
        <v>332</v>
      </c>
      <c r="J241" s="33" t="s">
        <v>333</v>
      </c>
      <c r="K241" s="37">
        <v>45062</v>
      </c>
      <c r="L241" s="34" t="s">
        <v>85</v>
      </c>
      <c r="M241" s="34" t="s">
        <v>55</v>
      </c>
      <c r="N241" s="35">
        <v>36</v>
      </c>
      <c r="O241" s="35">
        <v>0.76</v>
      </c>
      <c r="P241" s="35">
        <v>0.28000000000000003</v>
      </c>
      <c r="Q241" s="35">
        <v>0.14000000000000001</v>
      </c>
      <c r="R241" s="35">
        <v>4.3</v>
      </c>
      <c r="S241" s="35">
        <v>24</v>
      </c>
      <c r="T241" s="35">
        <v>4.43</v>
      </c>
      <c r="U241" s="35">
        <v>63</v>
      </c>
      <c r="V241" s="35">
        <v>20.6</v>
      </c>
      <c r="W241" s="35">
        <v>7.085</v>
      </c>
      <c r="X241" s="35">
        <v>152</v>
      </c>
      <c r="Y241" s="35">
        <v>1341.7</v>
      </c>
    </row>
    <row r="242" spans="1:25" ht="16.5" x14ac:dyDescent="0.3">
      <c r="A242" s="35">
        <v>2020</v>
      </c>
      <c r="B242" s="35" t="s">
        <v>389</v>
      </c>
      <c r="C242" s="55">
        <v>4</v>
      </c>
      <c r="D242" s="33" t="s">
        <v>363</v>
      </c>
      <c r="E242" s="33" t="s">
        <v>364</v>
      </c>
      <c r="F242" s="33" t="s">
        <v>101</v>
      </c>
      <c r="G242" s="33" t="s">
        <v>183</v>
      </c>
      <c r="H242" s="33" t="s">
        <v>103</v>
      </c>
      <c r="I242" s="33" t="s">
        <v>365</v>
      </c>
      <c r="J242" s="33" t="s">
        <v>366</v>
      </c>
      <c r="K242" s="37">
        <v>43885</v>
      </c>
      <c r="L242" s="34" t="s">
        <v>70</v>
      </c>
      <c r="M242" s="34" t="s">
        <v>71</v>
      </c>
      <c r="N242" s="35">
        <v>205</v>
      </c>
      <c r="O242" s="35">
        <v>0.8</v>
      </c>
      <c r="P242" s="35">
        <v>0.4</v>
      </c>
      <c r="Q242" s="35">
        <v>0.2</v>
      </c>
      <c r="R242" s="35">
        <v>2.8</v>
      </c>
      <c r="S242" s="35">
        <v>10</v>
      </c>
      <c r="T242" s="35">
        <v>4.53</v>
      </c>
      <c r="U242" s="35">
        <v>64.099999999999994</v>
      </c>
      <c r="V242" s="35">
        <v>20.399999999999999</v>
      </c>
      <c r="W242" s="35">
        <v>7.25</v>
      </c>
      <c r="X242" s="35">
        <v>140.69999999999999</v>
      </c>
      <c r="Y242" s="35">
        <v>1189.97</v>
      </c>
    </row>
    <row r="243" spans="1:25" ht="16.5" x14ac:dyDescent="0.3">
      <c r="A243" s="35">
        <v>2020</v>
      </c>
      <c r="B243" s="35" t="s">
        <v>390</v>
      </c>
      <c r="C243" s="55">
        <v>4</v>
      </c>
      <c r="D243" s="33" t="s">
        <v>363</v>
      </c>
      <c r="E243" s="33" t="s">
        <v>364</v>
      </c>
      <c r="F243" s="33" t="s">
        <v>101</v>
      </c>
      <c r="G243" s="33" t="s">
        <v>183</v>
      </c>
      <c r="H243" s="33" t="s">
        <v>103</v>
      </c>
      <c r="I243" s="33" t="s">
        <v>365</v>
      </c>
      <c r="J243" s="33" t="s">
        <v>366</v>
      </c>
      <c r="K243" s="37">
        <v>44068</v>
      </c>
      <c r="L243" s="34" t="s">
        <v>54</v>
      </c>
      <c r="M243" s="34" t="s">
        <v>55</v>
      </c>
      <c r="N243" s="35">
        <v>226</v>
      </c>
      <c r="O243" s="35">
        <v>0.8</v>
      </c>
      <c r="P243" s="35">
        <v>0.2</v>
      </c>
      <c r="Q243" s="35">
        <v>0.1</v>
      </c>
      <c r="R243" s="35">
        <v>1.9</v>
      </c>
      <c r="S243" s="35">
        <v>17.899999999999999</v>
      </c>
      <c r="T243" s="35">
        <v>5.31</v>
      </c>
      <c r="U243" s="35">
        <v>71.400000000000006</v>
      </c>
      <c r="V243" s="35">
        <v>17.399999999999999</v>
      </c>
      <c r="W243" s="35">
        <v>7.19</v>
      </c>
      <c r="X243" s="35">
        <v>122.8</v>
      </c>
      <c r="Y243" s="35">
        <v>1782.58</v>
      </c>
    </row>
    <row r="244" spans="1:25" ht="16.5" x14ac:dyDescent="0.3">
      <c r="A244" s="35">
        <v>2020</v>
      </c>
      <c r="B244" s="35" t="s">
        <v>391</v>
      </c>
      <c r="C244" s="55">
        <v>4</v>
      </c>
      <c r="D244" s="33" t="s">
        <v>363</v>
      </c>
      <c r="E244" s="33" t="s">
        <v>364</v>
      </c>
      <c r="F244" s="33" t="s">
        <v>101</v>
      </c>
      <c r="G244" s="33" t="s">
        <v>183</v>
      </c>
      <c r="H244" s="33" t="s">
        <v>103</v>
      </c>
      <c r="I244" s="33" t="s">
        <v>365</v>
      </c>
      <c r="J244" s="33" t="s">
        <v>366</v>
      </c>
      <c r="K244" s="37">
        <v>44159</v>
      </c>
      <c r="L244" s="34" t="s">
        <v>57</v>
      </c>
      <c r="M244" s="34" t="s">
        <v>55</v>
      </c>
      <c r="N244" s="35">
        <v>249</v>
      </c>
      <c r="O244" s="35">
        <v>0.6</v>
      </c>
      <c r="P244" s="35">
        <v>0.2</v>
      </c>
      <c r="Q244" s="35">
        <v>0.1</v>
      </c>
      <c r="R244" s="35">
        <v>2.2000000000000002</v>
      </c>
      <c r="S244" s="35">
        <v>10</v>
      </c>
      <c r="T244" s="35">
        <v>6.1</v>
      </c>
      <c r="U244" s="35">
        <v>81.7</v>
      </c>
      <c r="V244" s="35">
        <v>17</v>
      </c>
      <c r="W244" s="35">
        <v>7.08</v>
      </c>
      <c r="X244" s="35">
        <v>96.7</v>
      </c>
      <c r="Y244" s="35">
        <v>4980</v>
      </c>
    </row>
    <row r="245" spans="1:25" ht="16.5" x14ac:dyDescent="0.3">
      <c r="A245" s="35">
        <v>2021</v>
      </c>
      <c r="B245" s="35" t="s">
        <v>392</v>
      </c>
      <c r="C245" s="55">
        <v>4</v>
      </c>
      <c r="D245" s="33" t="s">
        <v>363</v>
      </c>
      <c r="E245" s="33" t="s">
        <v>364</v>
      </c>
      <c r="F245" s="33" t="s">
        <v>101</v>
      </c>
      <c r="G245" s="33" t="s">
        <v>183</v>
      </c>
      <c r="H245" s="33" t="s">
        <v>103</v>
      </c>
      <c r="I245" s="33" t="s">
        <v>365</v>
      </c>
      <c r="J245" s="33" t="s">
        <v>366</v>
      </c>
      <c r="K245" s="37">
        <v>44229</v>
      </c>
      <c r="L245" s="34" t="s">
        <v>70</v>
      </c>
      <c r="M245" s="34" t="s">
        <v>71</v>
      </c>
      <c r="N245" s="35">
        <v>272</v>
      </c>
      <c r="O245" s="35">
        <v>0.56000000000000005</v>
      </c>
      <c r="P245" s="35">
        <v>0.22</v>
      </c>
      <c r="Q245" s="35">
        <v>0.12</v>
      </c>
      <c r="R245" s="35">
        <v>2.1</v>
      </c>
      <c r="S245" s="35">
        <v>10</v>
      </c>
      <c r="T245" s="35">
        <v>4.95</v>
      </c>
      <c r="U245" s="35">
        <v>69</v>
      </c>
      <c r="V245" s="35">
        <v>18.399999999999999</v>
      </c>
      <c r="W245" s="35">
        <v>7.36</v>
      </c>
      <c r="X245" s="35">
        <v>136</v>
      </c>
      <c r="Y245" s="35">
        <v>1197.48</v>
      </c>
    </row>
    <row r="246" spans="1:25" ht="16.5" x14ac:dyDescent="0.3">
      <c r="A246" s="35">
        <v>2021</v>
      </c>
      <c r="B246" s="35" t="s">
        <v>393</v>
      </c>
      <c r="C246" s="55">
        <v>4</v>
      </c>
      <c r="D246" s="33" t="s">
        <v>363</v>
      </c>
      <c r="E246" s="33" t="s">
        <v>364</v>
      </c>
      <c r="F246" s="33" t="s">
        <v>101</v>
      </c>
      <c r="G246" s="33" t="s">
        <v>183</v>
      </c>
      <c r="H246" s="33" t="s">
        <v>103</v>
      </c>
      <c r="I246" s="33" t="s">
        <v>365</v>
      </c>
      <c r="J246" s="33" t="s">
        <v>366</v>
      </c>
      <c r="K246" s="37">
        <v>44529</v>
      </c>
      <c r="L246" s="34" t="s">
        <v>57</v>
      </c>
      <c r="M246" s="34" t="s">
        <v>55</v>
      </c>
      <c r="N246" s="35">
        <v>295</v>
      </c>
      <c r="O246" s="35">
        <v>1.02</v>
      </c>
      <c r="P246" s="35">
        <v>0.52</v>
      </c>
      <c r="Q246" s="35">
        <v>0.32</v>
      </c>
      <c r="R246" s="35">
        <v>2</v>
      </c>
      <c r="S246" s="35">
        <v>6.2</v>
      </c>
      <c r="T246" s="35">
        <v>6.15</v>
      </c>
      <c r="U246" s="35">
        <v>83.8</v>
      </c>
      <c r="V246" s="35">
        <v>18</v>
      </c>
      <c r="W246" s="35">
        <v>6.93</v>
      </c>
      <c r="X246" s="35">
        <v>93.7</v>
      </c>
      <c r="Y246" s="35" t="s">
        <v>88</v>
      </c>
    </row>
    <row r="247" spans="1:25" ht="16.5" x14ac:dyDescent="0.3">
      <c r="A247" s="35">
        <v>2022</v>
      </c>
      <c r="B247" s="35" t="s">
        <v>394</v>
      </c>
      <c r="C247" s="55">
        <v>9</v>
      </c>
      <c r="D247" s="33" t="s">
        <v>354</v>
      </c>
      <c r="E247" s="33" t="s">
        <v>355</v>
      </c>
      <c r="F247" s="33" t="s">
        <v>94</v>
      </c>
      <c r="G247" s="33" t="s">
        <v>266</v>
      </c>
      <c r="H247" s="33" t="s">
        <v>51</v>
      </c>
      <c r="I247" s="33" t="s">
        <v>356</v>
      </c>
      <c r="J247" s="33" t="s">
        <v>357</v>
      </c>
      <c r="K247" s="37">
        <v>44720</v>
      </c>
      <c r="L247" s="34" t="s">
        <v>76</v>
      </c>
      <c r="M247" s="34" t="s">
        <v>55</v>
      </c>
      <c r="N247" s="35">
        <v>147</v>
      </c>
      <c r="O247" s="35">
        <v>0.8</v>
      </c>
      <c r="P247" s="35">
        <v>0.4</v>
      </c>
      <c r="Q247" s="35">
        <v>0.3</v>
      </c>
      <c r="R247" s="35">
        <v>4.4000000000000004</v>
      </c>
      <c r="S247" s="35">
        <v>34.9</v>
      </c>
      <c r="T247" s="35">
        <v>6.0650000000000004</v>
      </c>
      <c r="U247" s="35">
        <v>79.849999999999994</v>
      </c>
      <c r="V247" s="35">
        <v>16.7</v>
      </c>
      <c r="W247" s="35">
        <v>6.9649999999999999</v>
      </c>
      <c r="X247" s="35">
        <v>65.5</v>
      </c>
      <c r="Y247" s="35" t="s">
        <v>88</v>
      </c>
    </row>
    <row r="248" spans="1:25" ht="16.5" x14ac:dyDescent="0.3">
      <c r="A248" s="35">
        <v>2022</v>
      </c>
      <c r="B248" s="35" t="s">
        <v>395</v>
      </c>
      <c r="C248" s="55">
        <v>9</v>
      </c>
      <c r="D248" s="33" t="s">
        <v>354</v>
      </c>
      <c r="E248" s="33" t="s">
        <v>355</v>
      </c>
      <c r="F248" s="33" t="s">
        <v>94</v>
      </c>
      <c r="G248" s="33" t="s">
        <v>266</v>
      </c>
      <c r="H248" s="33" t="s">
        <v>51</v>
      </c>
      <c r="I248" s="33" t="s">
        <v>356</v>
      </c>
      <c r="J248" s="33" t="s">
        <v>357</v>
      </c>
      <c r="K248" s="37">
        <v>44888</v>
      </c>
      <c r="L248" s="34" t="s">
        <v>57</v>
      </c>
      <c r="M248" s="34" t="s">
        <v>55</v>
      </c>
      <c r="N248" s="35">
        <v>157</v>
      </c>
      <c r="O248" s="35">
        <v>0.9</v>
      </c>
      <c r="P248" s="35">
        <v>0.4</v>
      </c>
      <c r="Q248" s="35">
        <v>0.22</v>
      </c>
      <c r="R248" s="35">
        <v>17.8</v>
      </c>
      <c r="S248" s="35">
        <v>82.6</v>
      </c>
      <c r="T248" s="35">
        <v>5.9550000000000001</v>
      </c>
      <c r="U248" s="35">
        <v>79.900000000000006</v>
      </c>
      <c r="V248" s="35">
        <v>17.8</v>
      </c>
      <c r="W248" s="35">
        <v>6.59</v>
      </c>
      <c r="X248" s="35">
        <v>67.900000000000006</v>
      </c>
      <c r="Y248" s="35" t="s">
        <v>88</v>
      </c>
    </row>
    <row r="249" spans="1:25" ht="16.5" x14ac:dyDescent="0.3">
      <c r="A249" s="35">
        <v>2022</v>
      </c>
      <c r="B249" s="35" t="s">
        <v>396</v>
      </c>
      <c r="C249" s="55">
        <v>3</v>
      </c>
      <c r="D249" s="33" t="s">
        <v>338</v>
      </c>
      <c r="E249" s="33" t="s">
        <v>339</v>
      </c>
      <c r="F249" s="33" t="s">
        <v>194</v>
      </c>
      <c r="G249" s="33" t="s">
        <v>64</v>
      </c>
      <c r="H249" s="33" t="s">
        <v>65</v>
      </c>
      <c r="I249" s="33" t="s">
        <v>340</v>
      </c>
      <c r="J249" s="33" t="s">
        <v>341</v>
      </c>
      <c r="K249" s="37">
        <v>44727</v>
      </c>
      <c r="L249" s="34" t="s">
        <v>76</v>
      </c>
      <c r="M249" s="34" t="s">
        <v>55</v>
      </c>
      <c r="N249" s="35">
        <v>77</v>
      </c>
      <c r="O249" s="35">
        <v>0.42</v>
      </c>
      <c r="P249" s="35">
        <v>0.16</v>
      </c>
      <c r="Q249" s="35">
        <v>0.04</v>
      </c>
      <c r="R249" s="35">
        <v>4.5</v>
      </c>
      <c r="S249" s="35">
        <v>24.8</v>
      </c>
      <c r="T249" s="35">
        <v>5.46</v>
      </c>
      <c r="U249" s="35">
        <v>76.349999999999994</v>
      </c>
      <c r="V249" s="35">
        <v>19.100000000000001</v>
      </c>
      <c r="W249" s="35">
        <v>7.01</v>
      </c>
      <c r="X249" s="35">
        <v>83.65</v>
      </c>
      <c r="Y249" s="35">
        <v>4074.1</v>
      </c>
    </row>
    <row r="250" spans="1:25" ht="16.5" x14ac:dyDescent="0.3">
      <c r="A250" s="35">
        <v>2022</v>
      </c>
      <c r="B250" s="35" t="s">
        <v>397</v>
      </c>
      <c r="C250" s="55">
        <v>3</v>
      </c>
      <c r="D250" s="33" t="s">
        <v>338</v>
      </c>
      <c r="E250" s="33" t="s">
        <v>339</v>
      </c>
      <c r="F250" s="33" t="s">
        <v>194</v>
      </c>
      <c r="G250" s="33" t="s">
        <v>64</v>
      </c>
      <c r="H250" s="33" t="s">
        <v>65</v>
      </c>
      <c r="I250" s="33" t="s">
        <v>340</v>
      </c>
      <c r="J250" s="33" t="s">
        <v>341</v>
      </c>
      <c r="K250" s="37">
        <v>44894</v>
      </c>
      <c r="L250" s="34" t="s">
        <v>57</v>
      </c>
      <c r="M250" s="34" t="s">
        <v>55</v>
      </c>
      <c r="N250" s="35">
        <v>90</v>
      </c>
      <c r="O250" s="35">
        <v>0.26</v>
      </c>
      <c r="P250" s="35">
        <v>0.16</v>
      </c>
      <c r="Q250" s="35">
        <v>0.04</v>
      </c>
      <c r="R250" s="35">
        <v>4</v>
      </c>
      <c r="S250" s="35">
        <v>26</v>
      </c>
      <c r="T250" s="35">
        <v>5.5449999999999999</v>
      </c>
      <c r="U250" s="35">
        <v>78.05</v>
      </c>
      <c r="V250" s="35">
        <v>19.5</v>
      </c>
      <c r="W250" s="35">
        <v>6.82</v>
      </c>
      <c r="X250" s="35">
        <v>96.25</v>
      </c>
      <c r="Y250" s="35" t="s">
        <v>88</v>
      </c>
    </row>
    <row r="251" spans="1:25" ht="16.5" x14ac:dyDescent="0.3">
      <c r="A251" s="35">
        <v>2023</v>
      </c>
      <c r="B251" s="35" t="s">
        <v>398</v>
      </c>
      <c r="C251" s="55">
        <v>3</v>
      </c>
      <c r="D251" s="33" t="s">
        <v>338</v>
      </c>
      <c r="E251" s="33" t="s">
        <v>339</v>
      </c>
      <c r="F251" s="33" t="s">
        <v>194</v>
      </c>
      <c r="G251" s="33" t="s">
        <v>64</v>
      </c>
      <c r="H251" s="33" t="s">
        <v>65</v>
      </c>
      <c r="I251" s="33" t="s">
        <v>340</v>
      </c>
      <c r="J251" s="33" t="s">
        <v>341</v>
      </c>
      <c r="K251" s="37">
        <v>44986</v>
      </c>
      <c r="L251" s="34" t="s">
        <v>130</v>
      </c>
      <c r="M251" s="34" t="s">
        <v>71</v>
      </c>
      <c r="N251" s="35">
        <v>25</v>
      </c>
      <c r="O251" s="35">
        <v>0.74</v>
      </c>
      <c r="P251" s="35">
        <v>0.26</v>
      </c>
      <c r="Q251" s="35">
        <v>0.12</v>
      </c>
      <c r="R251" s="35" t="s">
        <v>399</v>
      </c>
      <c r="S251" s="35">
        <v>52.1</v>
      </c>
      <c r="T251" s="35">
        <v>4.5549999999999997</v>
      </c>
      <c r="U251" s="35">
        <v>65.400000000000006</v>
      </c>
      <c r="V251" s="35">
        <v>20.9</v>
      </c>
      <c r="W251" s="35">
        <v>6.9</v>
      </c>
      <c r="X251" s="35">
        <v>91.35</v>
      </c>
      <c r="Y251" s="35" t="s">
        <v>88</v>
      </c>
    </row>
    <row r="252" spans="1:25" ht="16.5" x14ac:dyDescent="0.3">
      <c r="A252" s="35">
        <v>2023</v>
      </c>
      <c r="B252" s="35" t="s">
        <v>400</v>
      </c>
      <c r="C252" s="55">
        <v>3</v>
      </c>
      <c r="D252" s="33" t="s">
        <v>338</v>
      </c>
      <c r="E252" s="33" t="s">
        <v>339</v>
      </c>
      <c r="F252" s="33" t="s">
        <v>194</v>
      </c>
      <c r="G252" s="33" t="s">
        <v>64</v>
      </c>
      <c r="H252" s="33" t="s">
        <v>65</v>
      </c>
      <c r="I252" s="33" t="s">
        <v>340</v>
      </c>
      <c r="J252" s="33" t="s">
        <v>341</v>
      </c>
      <c r="K252" s="37">
        <v>45056</v>
      </c>
      <c r="L252" s="34" t="s">
        <v>85</v>
      </c>
      <c r="M252" s="34" t="s">
        <v>55</v>
      </c>
      <c r="N252" s="35">
        <v>29</v>
      </c>
      <c r="O252" s="35">
        <v>0.4</v>
      </c>
      <c r="P252" s="35">
        <v>0.12</v>
      </c>
      <c r="Q252" s="35">
        <v>0.04</v>
      </c>
      <c r="R252" s="35">
        <v>5.6</v>
      </c>
      <c r="S252" s="35">
        <v>33.9</v>
      </c>
      <c r="T252" s="35">
        <v>4.0199999999999996</v>
      </c>
      <c r="U252" s="35">
        <v>59</v>
      </c>
      <c r="V252" s="35">
        <v>21.7</v>
      </c>
      <c r="W252" s="35">
        <v>7.02</v>
      </c>
      <c r="X252" s="35">
        <v>122</v>
      </c>
      <c r="Y252" s="35" t="s">
        <v>88</v>
      </c>
    </row>
    <row r="253" spans="1:25" ht="16.5" x14ac:dyDescent="0.3">
      <c r="A253" s="35">
        <v>2023</v>
      </c>
      <c r="B253" s="35" t="s">
        <v>401</v>
      </c>
      <c r="C253" s="55">
        <v>9</v>
      </c>
      <c r="D253" s="33" t="s">
        <v>354</v>
      </c>
      <c r="E253" s="33" t="s">
        <v>355</v>
      </c>
      <c r="F253" s="33" t="s">
        <v>94</v>
      </c>
      <c r="G253" s="33" t="s">
        <v>266</v>
      </c>
      <c r="H253" s="33" t="s">
        <v>51</v>
      </c>
      <c r="I253" s="33" t="s">
        <v>356</v>
      </c>
      <c r="J253" s="33" t="s">
        <v>357</v>
      </c>
      <c r="K253" s="37">
        <v>44985</v>
      </c>
      <c r="L253" s="34" t="s">
        <v>70</v>
      </c>
      <c r="M253" s="34" t="s">
        <v>71</v>
      </c>
      <c r="N253" s="35">
        <v>107</v>
      </c>
      <c r="O253" s="35">
        <v>1.54</v>
      </c>
      <c r="P253" s="35">
        <v>0.78</v>
      </c>
      <c r="Q253" s="35">
        <v>0.48</v>
      </c>
      <c r="R253" s="35">
        <v>18.600000000000001</v>
      </c>
      <c r="S253" s="35">
        <v>76.400000000000006</v>
      </c>
      <c r="T253" s="35">
        <v>1.61</v>
      </c>
      <c r="U253" s="35">
        <v>24.1</v>
      </c>
      <c r="V253" s="35">
        <v>22.5</v>
      </c>
      <c r="W253" s="35">
        <v>7.12</v>
      </c>
      <c r="X253" s="35">
        <v>214.2</v>
      </c>
      <c r="Y253" s="35" t="s">
        <v>88</v>
      </c>
    </row>
    <row r="254" spans="1:25" ht="16.5" x14ac:dyDescent="0.3">
      <c r="A254" s="35">
        <v>2023</v>
      </c>
      <c r="B254" s="35" t="s">
        <v>402</v>
      </c>
      <c r="C254" s="55">
        <v>9</v>
      </c>
      <c r="D254" s="33" t="s">
        <v>354</v>
      </c>
      <c r="E254" s="33" t="s">
        <v>355</v>
      </c>
      <c r="F254" s="33" t="s">
        <v>94</v>
      </c>
      <c r="G254" s="33" t="s">
        <v>266</v>
      </c>
      <c r="H254" s="33" t="s">
        <v>51</v>
      </c>
      <c r="I254" s="33" t="s">
        <v>356</v>
      </c>
      <c r="J254" s="33" t="s">
        <v>357</v>
      </c>
      <c r="K254" s="37">
        <v>45056</v>
      </c>
      <c r="L254" s="34" t="s">
        <v>85</v>
      </c>
      <c r="M254" s="34" t="s">
        <v>55</v>
      </c>
      <c r="N254" s="35">
        <v>117</v>
      </c>
      <c r="O254" s="35">
        <v>0.74</v>
      </c>
      <c r="P254" s="35">
        <v>0.3</v>
      </c>
      <c r="Q254" s="35">
        <v>0.16</v>
      </c>
      <c r="R254" s="35">
        <v>11.2</v>
      </c>
      <c r="S254" s="35">
        <v>43</v>
      </c>
      <c r="T254" s="35">
        <v>2.0449999999999999</v>
      </c>
      <c r="U254" s="35">
        <v>30.7</v>
      </c>
      <c r="V254" s="35">
        <v>22.4</v>
      </c>
      <c r="W254" s="35">
        <v>6.94</v>
      </c>
      <c r="X254" s="35">
        <v>156.05000000000001</v>
      </c>
      <c r="Y254" s="35" t="s">
        <v>88</v>
      </c>
    </row>
    <row r="255" spans="1:25" ht="16.5" x14ac:dyDescent="0.3">
      <c r="A255" s="35">
        <v>2023</v>
      </c>
      <c r="B255" s="35" t="s">
        <v>403</v>
      </c>
      <c r="C255" s="55">
        <v>9</v>
      </c>
      <c r="D255" s="33" t="s">
        <v>354</v>
      </c>
      <c r="E255" s="33" t="s">
        <v>355</v>
      </c>
      <c r="F255" s="33" t="s">
        <v>94</v>
      </c>
      <c r="G255" s="33" t="s">
        <v>266</v>
      </c>
      <c r="H255" s="33" t="s">
        <v>51</v>
      </c>
      <c r="I255" s="33" t="s">
        <v>356</v>
      </c>
      <c r="J255" s="33" t="s">
        <v>357</v>
      </c>
      <c r="K255" s="37">
        <v>45252</v>
      </c>
      <c r="L255" s="34" t="s">
        <v>57</v>
      </c>
      <c r="M255" s="34" t="s">
        <v>55</v>
      </c>
      <c r="N255" s="35">
        <v>129</v>
      </c>
      <c r="O255" s="35">
        <v>0.28000000000000003</v>
      </c>
      <c r="P255" s="35">
        <v>0.12</v>
      </c>
      <c r="Q255" s="35">
        <v>0.08</v>
      </c>
      <c r="R255" s="35">
        <v>6.1</v>
      </c>
      <c r="S255" s="35">
        <v>10.7</v>
      </c>
      <c r="T255" s="35">
        <v>3.915</v>
      </c>
      <c r="U255" s="35">
        <v>55.8</v>
      </c>
      <c r="V255" s="35">
        <v>19.8</v>
      </c>
      <c r="W255" s="35">
        <v>6.3150000000000004</v>
      </c>
      <c r="X255" s="35">
        <v>102.55</v>
      </c>
      <c r="Y255" s="35" t="s">
        <v>88</v>
      </c>
    </row>
    <row r="256" spans="1:25" ht="16.5" x14ac:dyDescent="0.3">
      <c r="A256" s="1">
        <v>2024</v>
      </c>
      <c r="B256" s="1" t="s">
        <v>404</v>
      </c>
      <c r="C256" s="1">
        <v>10</v>
      </c>
      <c r="D256" t="s">
        <v>405</v>
      </c>
      <c r="E256" t="s">
        <v>406</v>
      </c>
      <c r="F256" t="s">
        <v>94</v>
      </c>
      <c r="G256" t="s">
        <v>266</v>
      </c>
      <c r="H256" t="s">
        <v>51</v>
      </c>
      <c r="I256" t="s">
        <v>407</v>
      </c>
      <c r="J256" t="s">
        <v>408</v>
      </c>
      <c r="K256" s="41">
        <v>45349</v>
      </c>
      <c r="L256" s="34" t="s">
        <v>70</v>
      </c>
      <c r="M256" s="1" t="s">
        <v>71</v>
      </c>
      <c r="O256" s="1">
        <v>1.82</v>
      </c>
      <c r="P256" s="1">
        <v>1.02</v>
      </c>
      <c r="Q256" s="1">
        <v>0.64</v>
      </c>
      <c r="R256" s="1">
        <v>18.100000000000001</v>
      </c>
      <c r="S256" s="1">
        <v>46.6</v>
      </c>
      <c r="T256" s="1">
        <v>2.0449999999999999</v>
      </c>
      <c r="U256" s="1">
        <v>30.8</v>
      </c>
      <c r="V256" s="1">
        <v>23.9</v>
      </c>
      <c r="W256" s="1">
        <v>7.3250000000000002</v>
      </c>
      <c r="X256" s="1">
        <v>319</v>
      </c>
      <c r="Y256" s="1" t="s">
        <v>88</v>
      </c>
    </row>
    <row r="257" spans="1:25" ht="16.5" x14ac:dyDescent="0.3">
      <c r="A257" s="1">
        <v>2024</v>
      </c>
      <c r="B257" s="1" t="s">
        <v>409</v>
      </c>
      <c r="C257" s="1">
        <v>10</v>
      </c>
      <c r="D257" t="s">
        <v>405</v>
      </c>
      <c r="E257" t="s">
        <v>406</v>
      </c>
      <c r="F257" t="s">
        <v>94</v>
      </c>
      <c r="G257" t="s">
        <v>266</v>
      </c>
      <c r="H257" t="s">
        <v>51</v>
      </c>
      <c r="I257" t="s">
        <v>407</v>
      </c>
      <c r="J257" t="s">
        <v>408</v>
      </c>
      <c r="K257" s="41">
        <v>45461</v>
      </c>
      <c r="L257" s="34" t="s">
        <v>76</v>
      </c>
      <c r="M257" s="34" t="s">
        <v>55</v>
      </c>
      <c r="O257" s="1">
        <v>0.86</v>
      </c>
      <c r="P257" s="1">
        <v>0.42</v>
      </c>
      <c r="Q257" s="1">
        <v>0.24</v>
      </c>
      <c r="R257" s="1">
        <v>6.3</v>
      </c>
      <c r="S257" s="1">
        <v>28</v>
      </c>
      <c r="T257" s="1">
        <v>5.35</v>
      </c>
      <c r="U257" s="1">
        <v>74.5</v>
      </c>
      <c r="V257" s="1">
        <v>19.600000000000001</v>
      </c>
      <c r="W257" s="1">
        <v>7.17</v>
      </c>
      <c r="X257" s="1">
        <v>102.55</v>
      </c>
      <c r="Y257" s="1" t="s">
        <v>88</v>
      </c>
    </row>
    <row r="258" spans="1:25" ht="16.5" x14ac:dyDescent="0.3">
      <c r="A258" s="1">
        <v>2024</v>
      </c>
      <c r="B258" s="1" t="s">
        <v>410</v>
      </c>
      <c r="C258" s="1">
        <v>10</v>
      </c>
      <c r="D258" t="s">
        <v>405</v>
      </c>
      <c r="E258" t="s">
        <v>406</v>
      </c>
      <c r="F258" t="s">
        <v>94</v>
      </c>
      <c r="G258" t="s">
        <v>266</v>
      </c>
      <c r="H258" t="s">
        <v>51</v>
      </c>
      <c r="I258" t="s">
        <v>407</v>
      </c>
      <c r="J258" t="s">
        <v>408</v>
      </c>
      <c r="K258" s="41">
        <v>45622</v>
      </c>
      <c r="L258" s="34" t="s">
        <v>57</v>
      </c>
      <c r="M258" s="1" t="s">
        <v>55</v>
      </c>
      <c r="O258" s="1">
        <v>0.74</v>
      </c>
      <c r="P258" s="1">
        <v>0.36</v>
      </c>
      <c r="Q258" s="1">
        <v>0.3</v>
      </c>
      <c r="R258" s="1">
        <v>4.9000000000000004</v>
      </c>
      <c r="S258" s="1">
        <v>33.299999999999997</v>
      </c>
      <c r="T258" s="1">
        <v>4.32</v>
      </c>
      <c r="U258" s="1">
        <v>59.599999999999994</v>
      </c>
      <c r="V258" s="1">
        <v>19</v>
      </c>
      <c r="W258" s="1">
        <v>6.6349999999999998</v>
      </c>
      <c r="X258" s="1">
        <v>122.9</v>
      </c>
      <c r="Y258" s="1" t="s">
        <v>88</v>
      </c>
    </row>
    <row r="259" spans="1:25" ht="16.5" x14ac:dyDescent="0.3">
      <c r="A259" s="35">
        <v>2021</v>
      </c>
      <c r="B259" s="35" t="s">
        <v>411</v>
      </c>
      <c r="C259" s="55">
        <v>10</v>
      </c>
      <c r="D259" s="33" t="s">
        <v>405</v>
      </c>
      <c r="E259" s="33" t="s">
        <v>406</v>
      </c>
      <c r="F259" s="33" t="s">
        <v>94</v>
      </c>
      <c r="G259" s="33" t="s">
        <v>266</v>
      </c>
      <c r="H259" s="33" t="s">
        <v>51</v>
      </c>
      <c r="I259" s="33" t="s">
        <v>407</v>
      </c>
      <c r="J259" s="33" t="s">
        <v>408</v>
      </c>
      <c r="K259" s="37">
        <v>44389</v>
      </c>
      <c r="L259" s="34" t="s">
        <v>59</v>
      </c>
      <c r="M259" s="34" t="s">
        <v>55</v>
      </c>
      <c r="N259" s="35">
        <v>304</v>
      </c>
      <c r="O259" s="35">
        <v>0.08</v>
      </c>
      <c r="P259" s="35">
        <v>0.5</v>
      </c>
      <c r="Q259" s="35">
        <v>0.2</v>
      </c>
      <c r="R259" s="35">
        <v>6.8</v>
      </c>
      <c r="S259" s="35">
        <v>18.600000000000001</v>
      </c>
      <c r="T259" s="35">
        <v>4.2699999999999996</v>
      </c>
      <c r="U259" s="35">
        <v>60.9</v>
      </c>
      <c r="V259" s="35">
        <v>20.399999999999999</v>
      </c>
      <c r="W259" s="35">
        <v>7.13</v>
      </c>
      <c r="X259" s="35">
        <v>116.1</v>
      </c>
      <c r="Y259" s="35">
        <v>7478.04</v>
      </c>
    </row>
    <row r="260" spans="1:25" ht="16.5" x14ac:dyDescent="0.3">
      <c r="A260" s="35">
        <v>2019</v>
      </c>
      <c r="B260" s="35" t="s">
        <v>412</v>
      </c>
      <c r="C260" s="55">
        <v>10</v>
      </c>
      <c r="D260" s="33" t="s">
        <v>405</v>
      </c>
      <c r="E260" s="33" t="s">
        <v>406</v>
      </c>
      <c r="F260" s="33" t="s">
        <v>94</v>
      </c>
      <c r="G260" s="33" t="s">
        <v>266</v>
      </c>
      <c r="H260" s="33" t="s">
        <v>51</v>
      </c>
      <c r="I260" s="33" t="s">
        <v>407</v>
      </c>
      <c r="J260" s="33" t="s">
        <v>408</v>
      </c>
      <c r="K260" s="37">
        <v>43794</v>
      </c>
      <c r="L260" s="34" t="s">
        <v>57</v>
      </c>
      <c r="M260" s="34" t="s">
        <v>55</v>
      </c>
      <c r="N260" s="35">
        <v>168</v>
      </c>
      <c r="O260" s="35">
        <v>0.6</v>
      </c>
      <c r="P260" s="35">
        <v>0.2</v>
      </c>
      <c r="Q260" s="35">
        <v>0.1</v>
      </c>
      <c r="R260" s="35">
        <v>4.3</v>
      </c>
      <c r="S260" s="35">
        <v>28.9</v>
      </c>
      <c r="T260" s="35">
        <v>4.87</v>
      </c>
      <c r="U260" s="35">
        <v>66.599999999999994</v>
      </c>
      <c r="V260" s="35">
        <v>18.399999999999999</v>
      </c>
      <c r="W260" s="35">
        <v>7.16</v>
      </c>
      <c r="X260" s="35">
        <v>105.7</v>
      </c>
      <c r="Y260" s="35">
        <v>16762.39</v>
      </c>
    </row>
    <row r="261" spans="1:25" ht="16.5" x14ac:dyDescent="0.3">
      <c r="A261" s="35">
        <v>2023</v>
      </c>
      <c r="B261" s="35" t="s">
        <v>413</v>
      </c>
      <c r="C261" s="55">
        <v>3</v>
      </c>
      <c r="D261" s="33" t="s">
        <v>338</v>
      </c>
      <c r="E261" s="33" t="s">
        <v>339</v>
      </c>
      <c r="F261" s="33" t="s">
        <v>194</v>
      </c>
      <c r="G261" s="33" t="s">
        <v>64</v>
      </c>
      <c r="H261" s="33" t="s">
        <v>65</v>
      </c>
      <c r="I261" s="33" t="s">
        <v>340</v>
      </c>
      <c r="J261" s="33" t="s">
        <v>341</v>
      </c>
      <c r="K261" s="37">
        <v>45252</v>
      </c>
      <c r="L261" s="34" t="s">
        <v>57</v>
      </c>
      <c r="M261" s="34" t="s">
        <v>55</v>
      </c>
      <c r="N261" s="35">
        <v>47</v>
      </c>
      <c r="O261" s="35">
        <v>0.38</v>
      </c>
      <c r="P261" s="35">
        <v>0.16</v>
      </c>
      <c r="Q261" s="35">
        <v>0.08</v>
      </c>
      <c r="R261" s="35">
        <v>5.0999999999999996</v>
      </c>
      <c r="S261" s="35">
        <v>20.9</v>
      </c>
      <c r="T261" s="35">
        <v>5.16</v>
      </c>
      <c r="U261" s="35">
        <v>74.05</v>
      </c>
      <c r="V261" s="35">
        <v>20.6</v>
      </c>
      <c r="W261" s="35">
        <v>7</v>
      </c>
      <c r="X261" s="35">
        <v>103.35</v>
      </c>
      <c r="Y261" s="35" t="s">
        <v>88</v>
      </c>
    </row>
    <row r="262" spans="1:25" ht="16.5" x14ac:dyDescent="0.3">
      <c r="A262" s="1">
        <v>2024</v>
      </c>
      <c r="B262" s="1" t="s">
        <v>414</v>
      </c>
      <c r="C262" s="1">
        <v>3</v>
      </c>
      <c r="D262" t="s">
        <v>338</v>
      </c>
      <c r="E262" t="s">
        <v>339</v>
      </c>
      <c r="F262" t="s">
        <v>194</v>
      </c>
      <c r="G262" t="s">
        <v>64</v>
      </c>
      <c r="H262" t="s">
        <v>65</v>
      </c>
      <c r="I262" t="s">
        <v>340</v>
      </c>
      <c r="J262" t="s">
        <v>341</v>
      </c>
      <c r="K262" s="41">
        <v>45349</v>
      </c>
      <c r="L262" s="34" t="s">
        <v>70</v>
      </c>
      <c r="M262" t="s">
        <v>71</v>
      </c>
      <c r="N262"/>
      <c r="O262">
        <v>0.74</v>
      </c>
      <c r="P262">
        <v>0.36</v>
      </c>
      <c r="Q262">
        <v>0.22</v>
      </c>
      <c r="R262">
        <v>13.6</v>
      </c>
      <c r="S262">
        <v>37.4</v>
      </c>
      <c r="T262">
        <v>4.9000000000000004</v>
      </c>
      <c r="U262">
        <v>73.650000000000006</v>
      </c>
      <c r="V262">
        <v>21.8</v>
      </c>
      <c r="W262">
        <v>7.335</v>
      </c>
      <c r="X262">
        <v>162.55000000000001</v>
      </c>
      <c r="Y262" s="1" t="s">
        <v>88</v>
      </c>
    </row>
    <row r="263" spans="1:25" ht="16.5" x14ac:dyDescent="0.3">
      <c r="A263" s="1">
        <v>2024</v>
      </c>
      <c r="B263" s="1" t="s">
        <v>415</v>
      </c>
      <c r="C263" s="1">
        <v>3</v>
      </c>
      <c r="D263" t="s">
        <v>338</v>
      </c>
      <c r="E263" t="s">
        <v>339</v>
      </c>
      <c r="F263" t="s">
        <v>194</v>
      </c>
      <c r="G263" t="s">
        <v>64</v>
      </c>
      <c r="H263" t="s">
        <v>65</v>
      </c>
      <c r="I263" t="s">
        <v>340</v>
      </c>
      <c r="J263" t="s">
        <v>341</v>
      </c>
      <c r="K263" s="41">
        <v>45461</v>
      </c>
      <c r="L263" s="34" t="s">
        <v>76</v>
      </c>
      <c r="M263" s="34" t="s">
        <v>55</v>
      </c>
      <c r="N263"/>
      <c r="O263">
        <v>0.9</v>
      </c>
      <c r="P263">
        <v>0.42</v>
      </c>
      <c r="Q263">
        <v>0.24</v>
      </c>
      <c r="R263">
        <v>3.6</v>
      </c>
      <c r="S263">
        <v>23.4</v>
      </c>
      <c r="T263">
        <v>5.5549999999999997</v>
      </c>
      <c r="U263">
        <v>78.95</v>
      </c>
      <c r="V263">
        <v>20.7</v>
      </c>
      <c r="W263">
        <v>7.21</v>
      </c>
      <c r="X263">
        <v>128.30000000000001</v>
      </c>
      <c r="Y263" s="1" t="s">
        <v>88</v>
      </c>
    </row>
    <row r="264" spans="1:25" ht="16.5" x14ac:dyDescent="0.3">
      <c r="A264" s="1">
        <v>2024</v>
      </c>
      <c r="B264" s="1" t="s">
        <v>416</v>
      </c>
      <c r="C264" s="1">
        <v>3</v>
      </c>
      <c r="D264" t="s">
        <v>338</v>
      </c>
      <c r="E264" t="s">
        <v>339</v>
      </c>
      <c r="F264" t="s">
        <v>194</v>
      </c>
      <c r="G264" t="s">
        <v>64</v>
      </c>
      <c r="H264" t="s">
        <v>65</v>
      </c>
      <c r="I264" t="s">
        <v>340</v>
      </c>
      <c r="J264" t="s">
        <v>341</v>
      </c>
      <c r="K264" s="41">
        <v>45622</v>
      </c>
      <c r="L264" s="34" t="s">
        <v>57</v>
      </c>
      <c r="M264" t="s">
        <v>55</v>
      </c>
      <c r="N264"/>
      <c r="O264">
        <v>1.88</v>
      </c>
      <c r="P264">
        <v>1.06</v>
      </c>
      <c r="Q264">
        <v>0.8</v>
      </c>
      <c r="R264">
        <v>3.5</v>
      </c>
      <c r="S264">
        <v>15.1</v>
      </c>
      <c r="T264">
        <v>4.6749999999999998</v>
      </c>
      <c r="U264">
        <v>65.599999999999994</v>
      </c>
      <c r="V264">
        <v>19.7</v>
      </c>
      <c r="W264">
        <v>6.8650000000000002</v>
      </c>
      <c r="X264">
        <v>108.8</v>
      </c>
      <c r="Y264" s="1" t="s">
        <v>88</v>
      </c>
    </row>
    <row r="265" spans="1:25" ht="16.5" x14ac:dyDescent="0.3">
      <c r="A265" s="35">
        <v>2020</v>
      </c>
      <c r="B265" s="35" t="s">
        <v>417</v>
      </c>
      <c r="C265" s="55">
        <v>10</v>
      </c>
      <c r="D265" s="33" t="s">
        <v>405</v>
      </c>
      <c r="E265" s="33" t="s">
        <v>406</v>
      </c>
      <c r="F265" s="33" t="s">
        <v>94</v>
      </c>
      <c r="G265" s="33" t="s">
        <v>266</v>
      </c>
      <c r="H265" s="33" t="s">
        <v>51</v>
      </c>
      <c r="I265" s="33" t="s">
        <v>407</v>
      </c>
      <c r="J265" s="33" t="s">
        <v>408</v>
      </c>
      <c r="K265" s="37">
        <v>43885</v>
      </c>
      <c r="L265" s="34" t="s">
        <v>70</v>
      </c>
      <c r="M265" s="34" t="s">
        <v>71</v>
      </c>
      <c r="N265" s="35">
        <v>191</v>
      </c>
      <c r="O265" s="35">
        <v>1.1000000000000001</v>
      </c>
      <c r="P265" s="35">
        <v>0.7</v>
      </c>
      <c r="Q265" s="35">
        <v>0.2</v>
      </c>
      <c r="R265" s="35">
        <v>13.9</v>
      </c>
      <c r="S265" s="35">
        <v>67.099999999999994</v>
      </c>
      <c r="T265" s="35">
        <v>2.5</v>
      </c>
      <c r="U265" s="35">
        <v>34.5</v>
      </c>
      <c r="V265" s="35">
        <v>18.899999999999999</v>
      </c>
      <c r="W265" s="35">
        <v>7.18</v>
      </c>
      <c r="X265" s="35">
        <v>234</v>
      </c>
      <c r="Y265" s="35">
        <v>2347.48</v>
      </c>
    </row>
    <row r="266" spans="1:25" ht="16.5" x14ac:dyDescent="0.3">
      <c r="A266" s="35">
        <v>2020</v>
      </c>
      <c r="B266" s="35" t="s">
        <v>418</v>
      </c>
      <c r="C266" s="55">
        <v>10</v>
      </c>
      <c r="D266" s="33" t="s">
        <v>405</v>
      </c>
      <c r="E266" s="33" t="s">
        <v>406</v>
      </c>
      <c r="F266" s="33" t="s">
        <v>94</v>
      </c>
      <c r="G266" s="33" t="s">
        <v>266</v>
      </c>
      <c r="H266" s="33" t="s">
        <v>51</v>
      </c>
      <c r="I266" s="33" t="s">
        <v>407</v>
      </c>
      <c r="J266" s="33" t="s">
        <v>408</v>
      </c>
      <c r="K266" s="37">
        <v>44067</v>
      </c>
      <c r="L266" s="34" t="s">
        <v>54</v>
      </c>
      <c r="M266" s="34" t="s">
        <v>55</v>
      </c>
      <c r="N266" s="35">
        <v>213</v>
      </c>
      <c r="O266" s="35">
        <v>0.8</v>
      </c>
      <c r="P266" s="35">
        <v>0.3</v>
      </c>
      <c r="Q266" s="35">
        <v>0.1</v>
      </c>
      <c r="R266" s="35">
        <v>4.9000000000000004</v>
      </c>
      <c r="S266" s="35">
        <v>27.1</v>
      </c>
      <c r="T266" s="35">
        <v>4.5</v>
      </c>
      <c r="U266" s="35">
        <v>61.5</v>
      </c>
      <c r="V266" s="35">
        <v>18.3</v>
      </c>
      <c r="W266" s="35">
        <v>6.65</v>
      </c>
      <c r="X266" s="35">
        <v>91.6</v>
      </c>
      <c r="Y266" s="35">
        <v>17050</v>
      </c>
    </row>
    <row r="267" spans="1:25" ht="16.5" x14ac:dyDescent="0.3">
      <c r="A267" s="35">
        <v>2022</v>
      </c>
      <c r="B267" s="35" t="s">
        <v>419</v>
      </c>
      <c r="C267" s="55">
        <v>4</v>
      </c>
      <c r="D267" s="33" t="s">
        <v>363</v>
      </c>
      <c r="E267" s="33" t="s">
        <v>364</v>
      </c>
      <c r="F267" s="33" t="s">
        <v>101</v>
      </c>
      <c r="G267" s="33" t="s">
        <v>183</v>
      </c>
      <c r="H267" s="33" t="s">
        <v>103</v>
      </c>
      <c r="I267" s="33" t="s">
        <v>365</v>
      </c>
      <c r="J267" s="33" t="s">
        <v>366</v>
      </c>
      <c r="K267" s="37">
        <v>44621</v>
      </c>
      <c r="L267" s="34" t="s">
        <v>130</v>
      </c>
      <c r="M267" s="34" t="s">
        <v>71</v>
      </c>
      <c r="N267" s="35">
        <v>56</v>
      </c>
      <c r="O267" s="35">
        <v>0.66</v>
      </c>
      <c r="P267" s="35">
        <v>0.28000000000000003</v>
      </c>
      <c r="Q267" s="35">
        <v>0.14000000000000001</v>
      </c>
      <c r="R267" s="35">
        <v>4.8</v>
      </c>
      <c r="S267" s="35">
        <v>20.9</v>
      </c>
      <c r="T267" s="35">
        <v>5.8650000000000002</v>
      </c>
      <c r="U267" s="35">
        <v>77.05</v>
      </c>
      <c r="V267" s="35">
        <v>16.5</v>
      </c>
      <c r="W267" s="35">
        <v>7.19</v>
      </c>
      <c r="X267" s="35">
        <v>97.95</v>
      </c>
      <c r="Y267" s="35">
        <v>3373.7</v>
      </c>
    </row>
    <row r="268" spans="1:25" ht="16.5" x14ac:dyDescent="0.3">
      <c r="A268" s="35">
        <v>2022</v>
      </c>
      <c r="B268" s="35" t="s">
        <v>420</v>
      </c>
      <c r="C268" s="55">
        <v>4</v>
      </c>
      <c r="D268" s="33" t="s">
        <v>363</v>
      </c>
      <c r="E268" s="33" t="s">
        <v>364</v>
      </c>
      <c r="F268" s="33" t="s">
        <v>101</v>
      </c>
      <c r="G268" s="33" t="s">
        <v>183</v>
      </c>
      <c r="H268" s="33" t="s">
        <v>103</v>
      </c>
      <c r="I268" s="33" t="s">
        <v>365</v>
      </c>
      <c r="J268" s="33" t="s">
        <v>366</v>
      </c>
      <c r="K268" s="37">
        <v>44720</v>
      </c>
      <c r="L268" s="34" t="s">
        <v>76</v>
      </c>
      <c r="M268" s="34" t="s">
        <v>55</v>
      </c>
      <c r="N268" s="35">
        <v>69</v>
      </c>
      <c r="O268" s="35">
        <v>0.32</v>
      </c>
      <c r="P268" s="35">
        <v>0.12</v>
      </c>
      <c r="Q268" s="35">
        <v>0.24</v>
      </c>
      <c r="R268" s="35">
        <v>5.0999999999999996</v>
      </c>
      <c r="S268" s="35">
        <v>21.8</v>
      </c>
      <c r="T268" s="35">
        <v>5.9550000000000001</v>
      </c>
      <c r="U268" s="35">
        <v>81.75</v>
      </c>
      <c r="V268" s="35">
        <v>18.600000000000001</v>
      </c>
      <c r="W268" s="35">
        <v>7.1150000000000002</v>
      </c>
      <c r="X268" s="35">
        <v>94.9</v>
      </c>
      <c r="Y268" s="35">
        <v>103705.2</v>
      </c>
    </row>
    <row r="269" spans="1:25" ht="16.5" x14ac:dyDescent="0.3">
      <c r="A269" s="35">
        <v>2022</v>
      </c>
      <c r="B269" s="35" t="s">
        <v>421</v>
      </c>
      <c r="C269" s="55">
        <v>4</v>
      </c>
      <c r="D269" s="33" t="s">
        <v>363</v>
      </c>
      <c r="E269" s="33" t="s">
        <v>364</v>
      </c>
      <c r="F269" s="33" t="s">
        <v>101</v>
      </c>
      <c r="G269" s="33" t="s">
        <v>183</v>
      </c>
      <c r="H269" s="33" t="s">
        <v>103</v>
      </c>
      <c r="I269" s="33" t="s">
        <v>365</v>
      </c>
      <c r="J269" s="33" t="s">
        <v>366</v>
      </c>
      <c r="K269" s="37">
        <v>44888</v>
      </c>
      <c r="L269" s="34" t="s">
        <v>57</v>
      </c>
      <c r="M269" s="34" t="s">
        <v>55</v>
      </c>
      <c r="N269" s="35">
        <v>82</v>
      </c>
      <c r="O269" s="35">
        <v>0.64</v>
      </c>
      <c r="P269" s="35">
        <v>0.28000000000000003</v>
      </c>
      <c r="Q269" s="35">
        <v>0.16</v>
      </c>
      <c r="R269" s="35">
        <v>9.4</v>
      </c>
      <c r="S269" s="35">
        <v>31.1</v>
      </c>
      <c r="T269" s="35">
        <v>6.7249999999999996</v>
      </c>
      <c r="U269" s="35">
        <v>92.8</v>
      </c>
      <c r="V269" s="35">
        <v>18.399999999999999</v>
      </c>
      <c r="W269" s="35">
        <v>6.8049999999999997</v>
      </c>
      <c r="X269" s="35">
        <v>92</v>
      </c>
      <c r="Y269" s="35" t="s">
        <v>88</v>
      </c>
    </row>
    <row r="270" spans="1:25" ht="16.5" x14ac:dyDescent="0.3">
      <c r="A270" s="35">
        <v>2023</v>
      </c>
      <c r="B270" s="35" t="s">
        <v>422</v>
      </c>
      <c r="C270" s="55">
        <v>4</v>
      </c>
      <c r="D270" s="33" t="s">
        <v>363</v>
      </c>
      <c r="E270" s="33" t="s">
        <v>364</v>
      </c>
      <c r="F270" s="33" t="s">
        <v>101</v>
      </c>
      <c r="G270" s="33" t="s">
        <v>183</v>
      </c>
      <c r="H270" s="33" t="s">
        <v>103</v>
      </c>
      <c r="I270" s="33" t="s">
        <v>365</v>
      </c>
      <c r="J270" s="33" t="s">
        <v>366</v>
      </c>
      <c r="K270" s="37">
        <v>44986</v>
      </c>
      <c r="L270" s="34" t="s">
        <v>130</v>
      </c>
      <c r="M270" s="34" t="s">
        <v>71</v>
      </c>
      <c r="N270" s="35">
        <v>21</v>
      </c>
      <c r="O270" s="35">
        <v>0.68</v>
      </c>
      <c r="P270" s="35">
        <v>0.28000000000000003</v>
      </c>
      <c r="Q270" s="35">
        <v>0.14000000000000001</v>
      </c>
      <c r="R270" s="35" t="s">
        <v>423</v>
      </c>
      <c r="S270" s="35">
        <v>22</v>
      </c>
      <c r="T270" s="35">
        <v>3.78</v>
      </c>
      <c r="U270" s="35">
        <v>51.4</v>
      </c>
      <c r="V270" s="35">
        <v>18.600000000000001</v>
      </c>
      <c r="W270" s="35">
        <v>6.6</v>
      </c>
      <c r="X270" s="35">
        <v>146.15</v>
      </c>
      <c r="Y270" s="35">
        <v>644.20000000000005</v>
      </c>
    </row>
    <row r="271" spans="1:25" ht="16.5" x14ac:dyDescent="0.3">
      <c r="A271" s="35">
        <v>2023</v>
      </c>
      <c r="B271" s="35" t="s">
        <v>424</v>
      </c>
      <c r="C271" s="55">
        <v>4</v>
      </c>
      <c r="D271" s="33" t="s">
        <v>363</v>
      </c>
      <c r="E271" s="33" t="s">
        <v>364</v>
      </c>
      <c r="F271" s="33" t="s">
        <v>101</v>
      </c>
      <c r="G271" s="33" t="s">
        <v>183</v>
      </c>
      <c r="H271" s="33" t="s">
        <v>103</v>
      </c>
      <c r="I271" s="33" t="s">
        <v>365</v>
      </c>
      <c r="J271" s="33" t="s">
        <v>366</v>
      </c>
      <c r="K271" s="37">
        <v>45056</v>
      </c>
      <c r="L271" s="34" t="s">
        <v>85</v>
      </c>
      <c r="M271" s="34" t="s">
        <v>55</v>
      </c>
      <c r="N271" s="35">
        <v>34</v>
      </c>
      <c r="O271" s="35">
        <v>0.34</v>
      </c>
      <c r="P271" s="35">
        <v>0.12</v>
      </c>
      <c r="Q271" s="35">
        <v>0.04</v>
      </c>
      <c r="R271" s="35">
        <v>1.9</v>
      </c>
      <c r="S271" s="35">
        <v>8.5</v>
      </c>
      <c r="T271" s="35">
        <v>5.48</v>
      </c>
      <c r="U271" s="35">
        <v>76.3</v>
      </c>
      <c r="V271" s="35">
        <v>18.600000000000001</v>
      </c>
      <c r="W271" s="35">
        <v>6.7450000000000001</v>
      </c>
      <c r="X271" s="35">
        <v>122.3</v>
      </c>
      <c r="Y271" s="35">
        <v>2094.8000000000002</v>
      </c>
    </row>
    <row r="272" spans="1:25" ht="16.5" x14ac:dyDescent="0.3">
      <c r="A272" s="35">
        <v>2023</v>
      </c>
      <c r="B272" s="35" t="s">
        <v>425</v>
      </c>
      <c r="C272" s="55">
        <v>3</v>
      </c>
      <c r="D272" s="33" t="s">
        <v>330</v>
      </c>
      <c r="E272" s="33" t="s">
        <v>331</v>
      </c>
      <c r="F272" s="33" t="s">
        <v>194</v>
      </c>
      <c r="G272" s="33" t="s">
        <v>218</v>
      </c>
      <c r="H272" s="33" t="s">
        <v>121</v>
      </c>
      <c r="I272" s="33" t="s">
        <v>332</v>
      </c>
      <c r="J272" s="33" t="s">
        <v>333</v>
      </c>
      <c r="K272" s="37">
        <v>45258</v>
      </c>
      <c r="L272" s="34" t="s">
        <v>57</v>
      </c>
      <c r="M272" s="34" t="s">
        <v>55</v>
      </c>
      <c r="N272" s="35">
        <v>49</v>
      </c>
      <c r="O272" s="35">
        <v>0.5</v>
      </c>
      <c r="P272" s="35">
        <v>0.2</v>
      </c>
      <c r="Q272" s="35">
        <v>0.08</v>
      </c>
      <c r="R272" s="35">
        <v>5.2</v>
      </c>
      <c r="S272" s="35">
        <v>10.6</v>
      </c>
      <c r="T272" s="35">
        <v>4.08</v>
      </c>
      <c r="U272" s="35">
        <v>58</v>
      </c>
      <c r="V272" s="35">
        <v>20.399999999999999</v>
      </c>
      <c r="W272" s="35">
        <v>6.585</v>
      </c>
      <c r="X272" s="35">
        <v>136.44999999999999</v>
      </c>
      <c r="Y272" s="35">
        <v>1611</v>
      </c>
    </row>
    <row r="273" spans="1:25" ht="16.5" x14ac:dyDescent="0.3">
      <c r="A273" s="1">
        <v>2024</v>
      </c>
      <c r="B273" s="1" t="s">
        <v>426</v>
      </c>
      <c r="C273" s="1">
        <v>3</v>
      </c>
      <c r="D273" t="s">
        <v>330</v>
      </c>
      <c r="E273" t="s">
        <v>331</v>
      </c>
      <c r="F273" t="s">
        <v>194</v>
      </c>
      <c r="G273" t="s">
        <v>218</v>
      </c>
      <c r="H273" t="s">
        <v>121</v>
      </c>
      <c r="I273" t="s">
        <v>332</v>
      </c>
      <c r="J273" t="s">
        <v>333</v>
      </c>
      <c r="K273" s="41">
        <v>45356</v>
      </c>
      <c r="L273" s="34" t="s">
        <v>130</v>
      </c>
      <c r="M273" t="s">
        <v>71</v>
      </c>
      <c r="N273"/>
      <c r="O273">
        <v>1.1000000000000001</v>
      </c>
      <c r="P273">
        <v>0.44</v>
      </c>
      <c r="Q273">
        <v>0.22</v>
      </c>
      <c r="R273">
        <v>6</v>
      </c>
      <c r="S273">
        <v>39.1</v>
      </c>
      <c r="T273">
        <v>4.33</v>
      </c>
      <c r="U273">
        <v>62.55</v>
      </c>
      <c r="V273">
        <v>21.1</v>
      </c>
      <c r="W273">
        <v>7.3449999999999998</v>
      </c>
      <c r="X273">
        <v>231.5</v>
      </c>
      <c r="Y273" s="1">
        <v>811.9</v>
      </c>
    </row>
    <row r="274" spans="1:25" ht="16.5" x14ac:dyDescent="0.3">
      <c r="A274" s="1">
        <v>2024</v>
      </c>
      <c r="B274" s="1" t="s">
        <v>427</v>
      </c>
      <c r="C274" s="1">
        <v>3</v>
      </c>
      <c r="D274" t="s">
        <v>330</v>
      </c>
      <c r="E274" t="s">
        <v>331</v>
      </c>
      <c r="F274" t="s">
        <v>194</v>
      </c>
      <c r="G274" t="s">
        <v>218</v>
      </c>
      <c r="H274" t="s">
        <v>121</v>
      </c>
      <c r="I274" t="s">
        <v>332</v>
      </c>
      <c r="J274" t="s">
        <v>333</v>
      </c>
      <c r="K274" s="41">
        <v>45468</v>
      </c>
      <c r="L274" s="34" t="s">
        <v>76</v>
      </c>
      <c r="M274" s="34" t="s">
        <v>55</v>
      </c>
      <c r="N274"/>
      <c r="O274">
        <v>0.57999999999999996</v>
      </c>
      <c r="P274">
        <v>0.2</v>
      </c>
      <c r="Q274">
        <v>0.08</v>
      </c>
      <c r="R274">
        <v>2.7</v>
      </c>
      <c r="S274">
        <v>26.8</v>
      </c>
      <c r="T274">
        <v>5.2750000000000004</v>
      </c>
      <c r="U274">
        <v>73.55</v>
      </c>
      <c r="V274">
        <v>19.3</v>
      </c>
      <c r="W274">
        <v>7.54</v>
      </c>
      <c r="X274">
        <v>93.65</v>
      </c>
      <c r="Y274" s="1" t="s">
        <v>88</v>
      </c>
    </row>
    <row r="275" spans="1:25" ht="16.5" x14ac:dyDescent="0.3">
      <c r="A275" s="1">
        <v>2024</v>
      </c>
      <c r="B275" s="1" t="s">
        <v>428</v>
      </c>
      <c r="C275" s="1">
        <v>3</v>
      </c>
      <c r="D275" t="s">
        <v>330</v>
      </c>
      <c r="E275" t="s">
        <v>331</v>
      </c>
      <c r="F275" t="s">
        <v>194</v>
      </c>
      <c r="G275" t="s">
        <v>218</v>
      </c>
      <c r="H275" t="s">
        <v>121</v>
      </c>
      <c r="I275" t="s">
        <v>332</v>
      </c>
      <c r="J275" t="s">
        <v>333</v>
      </c>
      <c r="K275" s="41">
        <v>45629</v>
      </c>
      <c r="L275" s="34" t="s">
        <v>201</v>
      </c>
      <c r="M275" t="s">
        <v>55</v>
      </c>
      <c r="N275"/>
      <c r="O275">
        <v>2.3199999999999998</v>
      </c>
      <c r="P275">
        <v>1.84</v>
      </c>
      <c r="Q275">
        <v>1.7</v>
      </c>
      <c r="R275">
        <v>1.6</v>
      </c>
      <c r="S275">
        <v>14.5</v>
      </c>
      <c r="T275">
        <v>4.1099999999999994</v>
      </c>
      <c r="U275">
        <v>56.9</v>
      </c>
      <c r="V275">
        <v>19.2</v>
      </c>
      <c r="W275">
        <v>6.82</v>
      </c>
      <c r="X275">
        <v>111.1</v>
      </c>
      <c r="Y275" s="1" t="s">
        <v>88</v>
      </c>
    </row>
    <row r="276" spans="1:25" ht="16.5" x14ac:dyDescent="0.3">
      <c r="A276" s="35">
        <v>2020</v>
      </c>
      <c r="B276" s="35" t="s">
        <v>429</v>
      </c>
      <c r="C276" s="55">
        <v>10</v>
      </c>
      <c r="D276" s="33" t="s">
        <v>405</v>
      </c>
      <c r="E276" s="33" t="s">
        <v>406</v>
      </c>
      <c r="F276" s="33" t="s">
        <v>94</v>
      </c>
      <c r="G276" s="33" t="s">
        <v>266</v>
      </c>
      <c r="H276" s="33" t="s">
        <v>51</v>
      </c>
      <c r="I276" s="33" t="s">
        <v>407</v>
      </c>
      <c r="J276" s="33" t="s">
        <v>408</v>
      </c>
      <c r="K276" s="37">
        <v>44158</v>
      </c>
      <c r="L276" s="34" t="s">
        <v>57</v>
      </c>
      <c r="M276" s="34" t="s">
        <v>55</v>
      </c>
      <c r="N276" s="35">
        <v>235</v>
      </c>
      <c r="O276" s="35">
        <v>0.9</v>
      </c>
      <c r="P276" s="35">
        <v>0.4</v>
      </c>
      <c r="Q276" s="35">
        <v>0.2</v>
      </c>
      <c r="R276" s="35">
        <v>7</v>
      </c>
      <c r="S276" s="35">
        <v>29.8</v>
      </c>
      <c r="T276" s="35">
        <v>5.07</v>
      </c>
      <c r="U276" s="35">
        <v>71.8</v>
      </c>
      <c r="V276" s="35">
        <v>20</v>
      </c>
      <c r="W276" s="35">
        <v>6.62</v>
      </c>
      <c r="X276" s="35">
        <v>101.5</v>
      </c>
      <c r="Y276" s="35">
        <v>25780</v>
      </c>
    </row>
    <row r="277" spans="1:25" ht="16.5" x14ac:dyDescent="0.3">
      <c r="A277" s="35">
        <v>2021</v>
      </c>
      <c r="B277" s="35" t="s">
        <v>430</v>
      </c>
      <c r="C277" s="55">
        <v>10</v>
      </c>
      <c r="D277" s="33" t="s">
        <v>405</v>
      </c>
      <c r="E277" s="33" t="s">
        <v>406</v>
      </c>
      <c r="F277" s="33" t="s">
        <v>94</v>
      </c>
      <c r="G277" s="33" t="s">
        <v>266</v>
      </c>
      <c r="H277" s="33" t="s">
        <v>51</v>
      </c>
      <c r="I277" s="33" t="s">
        <v>407</v>
      </c>
      <c r="J277" s="33" t="s">
        <v>408</v>
      </c>
      <c r="K277" s="37">
        <v>44228</v>
      </c>
      <c r="L277" s="34" t="s">
        <v>70</v>
      </c>
      <c r="M277" s="34" t="s">
        <v>71</v>
      </c>
      <c r="N277" s="35">
        <v>258</v>
      </c>
      <c r="O277" s="35">
        <v>1.42</v>
      </c>
      <c r="P277" s="35">
        <v>0.94</v>
      </c>
      <c r="Q277" s="35">
        <v>0.42</v>
      </c>
      <c r="R277" s="35">
        <v>12</v>
      </c>
      <c r="S277" s="35">
        <v>34.799999999999997</v>
      </c>
      <c r="T277" s="35">
        <v>1.85</v>
      </c>
      <c r="U277" s="35">
        <v>26.2</v>
      </c>
      <c r="V277" s="35">
        <v>19.899999999999999</v>
      </c>
      <c r="W277" s="35">
        <v>7</v>
      </c>
      <c r="X277" s="35">
        <v>210</v>
      </c>
      <c r="Y277" s="35">
        <v>2844.85</v>
      </c>
    </row>
    <row r="278" spans="1:25" ht="16.5" x14ac:dyDescent="0.3">
      <c r="A278" s="35">
        <v>2023</v>
      </c>
      <c r="B278" s="35" t="s">
        <v>431</v>
      </c>
      <c r="C278" s="55">
        <v>4</v>
      </c>
      <c r="D278" s="33" t="s">
        <v>363</v>
      </c>
      <c r="E278" s="33" t="s">
        <v>364</v>
      </c>
      <c r="F278" s="33" t="s">
        <v>101</v>
      </c>
      <c r="G278" s="33" t="s">
        <v>183</v>
      </c>
      <c r="H278" s="33" t="s">
        <v>103</v>
      </c>
      <c r="I278" s="33" t="s">
        <v>365</v>
      </c>
      <c r="J278" s="33" t="s">
        <v>366</v>
      </c>
      <c r="K278" s="37">
        <v>45251</v>
      </c>
      <c r="L278" s="34" t="s">
        <v>57</v>
      </c>
      <c r="M278" s="34" t="s">
        <v>55</v>
      </c>
      <c r="N278" s="35">
        <v>43</v>
      </c>
      <c r="O278" s="35">
        <v>0.16</v>
      </c>
      <c r="P278" s="35">
        <v>0.04</v>
      </c>
      <c r="Q278" s="35">
        <v>0.02</v>
      </c>
      <c r="R278" s="35">
        <v>1.8</v>
      </c>
      <c r="S278" s="35">
        <v>0</v>
      </c>
      <c r="T278" s="35">
        <v>5.66</v>
      </c>
      <c r="U278" s="35">
        <v>77.45</v>
      </c>
      <c r="V278" s="35">
        <v>18.3</v>
      </c>
      <c r="W278" s="35">
        <v>7.16</v>
      </c>
      <c r="X278" s="35">
        <v>90.05</v>
      </c>
      <c r="Y278" s="35" t="s">
        <v>88</v>
      </c>
    </row>
    <row r="279" spans="1:25" ht="16.5" x14ac:dyDescent="0.3">
      <c r="A279" s="1">
        <v>2024</v>
      </c>
      <c r="B279" s="1" t="s">
        <v>432</v>
      </c>
      <c r="C279" s="1">
        <v>4</v>
      </c>
      <c r="D279" t="s">
        <v>363</v>
      </c>
      <c r="E279" t="s">
        <v>364</v>
      </c>
      <c r="F279" t="s">
        <v>101</v>
      </c>
      <c r="G279" t="s">
        <v>183</v>
      </c>
      <c r="H279" t="s">
        <v>103</v>
      </c>
      <c r="I279" t="s">
        <v>365</v>
      </c>
      <c r="J279" t="s">
        <v>366</v>
      </c>
      <c r="K279" s="41">
        <v>45349</v>
      </c>
      <c r="L279" s="34" t="s">
        <v>70</v>
      </c>
      <c r="M279" s="1" t="s">
        <v>71</v>
      </c>
      <c r="O279" s="1">
        <v>0.96</v>
      </c>
      <c r="P279" s="1">
        <v>0.46</v>
      </c>
      <c r="Q279" s="1">
        <v>0.28000000000000003</v>
      </c>
      <c r="R279" s="1">
        <v>4.4000000000000004</v>
      </c>
      <c r="S279" s="1">
        <v>13.7</v>
      </c>
      <c r="T279" s="1">
        <v>2.8200000000000003</v>
      </c>
      <c r="U279" s="1">
        <v>41.5</v>
      </c>
      <c r="V279" s="1">
        <v>22.1</v>
      </c>
      <c r="W279" s="1">
        <v>6.99</v>
      </c>
      <c r="X279" s="1">
        <v>193.89999999999998</v>
      </c>
      <c r="Y279" s="1">
        <v>814.8</v>
      </c>
    </row>
    <row r="280" spans="1:25" ht="16.5" x14ac:dyDescent="0.3">
      <c r="A280" s="1">
        <v>2024</v>
      </c>
      <c r="B280" s="1" t="s">
        <v>433</v>
      </c>
      <c r="C280" s="1">
        <v>4</v>
      </c>
      <c r="D280" t="s">
        <v>363</v>
      </c>
      <c r="E280" t="s">
        <v>364</v>
      </c>
      <c r="F280" t="s">
        <v>101</v>
      </c>
      <c r="G280" t="s">
        <v>183</v>
      </c>
      <c r="H280" t="s">
        <v>103</v>
      </c>
      <c r="I280" t="s">
        <v>365</v>
      </c>
      <c r="J280" t="s">
        <v>366</v>
      </c>
      <c r="K280" s="41">
        <v>45461</v>
      </c>
      <c r="L280" s="34" t="s">
        <v>76</v>
      </c>
      <c r="M280" s="34" t="s">
        <v>55</v>
      </c>
      <c r="O280" s="1">
        <v>0.5</v>
      </c>
      <c r="P280" s="1">
        <v>0.2</v>
      </c>
      <c r="Q280" s="1">
        <v>0.12</v>
      </c>
      <c r="R280" s="1">
        <v>3.7</v>
      </c>
      <c r="S280" s="1">
        <v>21.5</v>
      </c>
      <c r="T280" s="1">
        <v>5.2750000000000004</v>
      </c>
      <c r="U280" s="1">
        <v>75.25</v>
      </c>
      <c r="V280" s="1">
        <v>20.5</v>
      </c>
      <c r="W280" s="1">
        <v>7.0449999999999999</v>
      </c>
      <c r="X280" s="1">
        <v>105.45</v>
      </c>
      <c r="Y280" s="1" t="s">
        <v>88</v>
      </c>
    </row>
    <row r="281" spans="1:25" ht="16.5" x14ac:dyDescent="0.3">
      <c r="A281" s="1">
        <v>2024</v>
      </c>
      <c r="B281" s="1" t="s">
        <v>434</v>
      </c>
      <c r="C281" s="1">
        <v>4</v>
      </c>
      <c r="D281" t="s">
        <v>363</v>
      </c>
      <c r="E281" t="s">
        <v>364</v>
      </c>
      <c r="F281" t="s">
        <v>101</v>
      </c>
      <c r="G281" t="s">
        <v>183</v>
      </c>
      <c r="H281" t="s">
        <v>103</v>
      </c>
      <c r="I281" t="s">
        <v>365</v>
      </c>
      <c r="J281" t="s">
        <v>366</v>
      </c>
      <c r="K281" s="41">
        <v>45622</v>
      </c>
      <c r="L281" s="34" t="s">
        <v>57</v>
      </c>
      <c r="M281" s="1" t="s">
        <v>55</v>
      </c>
      <c r="O281" s="1">
        <v>0.9</v>
      </c>
      <c r="P281" s="1">
        <v>0.44</v>
      </c>
      <c r="Q281" s="1">
        <v>0.2</v>
      </c>
      <c r="R281" s="1">
        <v>3.2</v>
      </c>
      <c r="S281" s="1">
        <v>20.8</v>
      </c>
      <c r="T281" s="1">
        <v>5.4399999999999995</v>
      </c>
      <c r="U281" s="1">
        <v>77.25</v>
      </c>
      <c r="V281" s="1">
        <v>19.5</v>
      </c>
      <c r="W281" s="1">
        <v>7.1449999999999996</v>
      </c>
      <c r="X281" s="1">
        <v>113.25</v>
      </c>
      <c r="Y281" s="1" t="s">
        <v>88</v>
      </c>
    </row>
    <row r="282" spans="1:25" ht="16.5" x14ac:dyDescent="0.3">
      <c r="A282" s="35">
        <v>2021</v>
      </c>
      <c r="B282" s="35" t="s">
        <v>435</v>
      </c>
      <c r="C282" s="55">
        <v>5</v>
      </c>
      <c r="D282" s="33" t="s">
        <v>436</v>
      </c>
      <c r="E282" s="33" t="s">
        <v>437</v>
      </c>
      <c r="F282" s="33" t="s">
        <v>94</v>
      </c>
      <c r="G282" s="33" t="s">
        <v>183</v>
      </c>
      <c r="H282" s="33" t="s">
        <v>103</v>
      </c>
      <c r="I282" s="33" t="s">
        <v>438</v>
      </c>
      <c r="J282" s="33" t="s">
        <v>439</v>
      </c>
      <c r="K282" s="37">
        <v>44390</v>
      </c>
      <c r="L282" s="34" t="s">
        <v>59</v>
      </c>
      <c r="M282" s="34" t="s">
        <v>55</v>
      </c>
      <c r="N282" s="35">
        <v>319</v>
      </c>
      <c r="O282" s="35">
        <v>0.7</v>
      </c>
      <c r="P282" s="35">
        <v>0.5</v>
      </c>
      <c r="Q282" s="35">
        <v>0.1</v>
      </c>
      <c r="R282" s="35">
        <v>10.7</v>
      </c>
      <c r="S282" s="35">
        <v>17.2</v>
      </c>
      <c r="T282" s="35">
        <v>5.6</v>
      </c>
      <c r="U282" s="35">
        <v>78.3</v>
      </c>
      <c r="V282" s="35">
        <v>19.899999999999999</v>
      </c>
      <c r="W282" s="35">
        <v>6.99</v>
      </c>
      <c r="X282" s="35">
        <v>93.3</v>
      </c>
      <c r="Y282" s="35">
        <v>2313.0500000000002</v>
      </c>
    </row>
    <row r="283" spans="1:25" ht="16.5" x14ac:dyDescent="0.3">
      <c r="A283" s="35">
        <v>2021</v>
      </c>
      <c r="B283" s="35" t="s">
        <v>440</v>
      </c>
      <c r="C283" s="55">
        <v>10</v>
      </c>
      <c r="D283" s="33" t="s">
        <v>405</v>
      </c>
      <c r="E283" s="33" t="s">
        <v>406</v>
      </c>
      <c r="F283" s="33" t="s">
        <v>94</v>
      </c>
      <c r="G283" s="33" t="s">
        <v>266</v>
      </c>
      <c r="H283" s="33" t="s">
        <v>51</v>
      </c>
      <c r="I283" s="33" t="s">
        <v>407</v>
      </c>
      <c r="J283" s="33" t="s">
        <v>408</v>
      </c>
      <c r="K283" s="37">
        <v>44529</v>
      </c>
      <c r="L283" s="34" t="s">
        <v>57</v>
      </c>
      <c r="M283" s="34" t="s">
        <v>55</v>
      </c>
      <c r="N283" s="35">
        <v>281</v>
      </c>
      <c r="O283" s="35">
        <v>1.1000000000000001</v>
      </c>
      <c r="P283" s="35">
        <v>0.6</v>
      </c>
      <c r="Q283" s="35">
        <v>0.4</v>
      </c>
      <c r="R283" s="35">
        <v>2.5</v>
      </c>
      <c r="S283" s="35">
        <v>11.8</v>
      </c>
      <c r="T283" s="35">
        <v>5.55</v>
      </c>
      <c r="U283" s="35">
        <v>74.45</v>
      </c>
      <c r="V283" s="35">
        <v>19.3</v>
      </c>
      <c r="W283" s="35">
        <v>6.77</v>
      </c>
      <c r="X283" s="35">
        <v>73.2</v>
      </c>
      <c r="Y283" s="35" t="s">
        <v>88</v>
      </c>
    </row>
    <row r="284" spans="1:25" ht="16.5" x14ac:dyDescent="0.3">
      <c r="A284" s="35">
        <v>2022</v>
      </c>
      <c r="B284" s="35" t="s">
        <v>441</v>
      </c>
      <c r="C284" s="55">
        <v>10</v>
      </c>
      <c r="D284" s="33" t="s">
        <v>405</v>
      </c>
      <c r="E284" s="33" t="s">
        <v>406</v>
      </c>
      <c r="F284" s="33" t="s">
        <v>94</v>
      </c>
      <c r="G284" s="33" t="s">
        <v>266</v>
      </c>
      <c r="H284" s="33" t="s">
        <v>51</v>
      </c>
      <c r="I284" s="33" t="s">
        <v>407</v>
      </c>
      <c r="J284" s="33" t="s">
        <v>408</v>
      </c>
      <c r="K284" s="37">
        <v>44614</v>
      </c>
      <c r="L284" s="34" t="s">
        <v>70</v>
      </c>
      <c r="M284" s="34" t="s">
        <v>71</v>
      </c>
      <c r="N284" s="35">
        <v>138</v>
      </c>
      <c r="O284" s="35">
        <v>1.1000000000000001</v>
      </c>
      <c r="P284" s="35">
        <v>0.4</v>
      </c>
      <c r="Q284" s="35">
        <v>0.2</v>
      </c>
      <c r="R284" s="35">
        <v>10.8</v>
      </c>
      <c r="S284" s="35">
        <v>38.700000000000003</v>
      </c>
      <c r="T284" s="35">
        <v>4.6050000000000004</v>
      </c>
      <c r="U284" s="35">
        <v>62.95</v>
      </c>
      <c r="V284" s="35">
        <v>18.3</v>
      </c>
      <c r="W284" s="35">
        <v>6.8049999999999997</v>
      </c>
      <c r="X284" s="35" t="s">
        <v>88</v>
      </c>
      <c r="Y284" s="35">
        <v>11734.3</v>
      </c>
    </row>
    <row r="285" spans="1:25" ht="16.5" x14ac:dyDescent="0.3">
      <c r="A285" s="35">
        <v>2022</v>
      </c>
      <c r="B285" s="35" t="s">
        <v>442</v>
      </c>
      <c r="C285" s="55">
        <v>10</v>
      </c>
      <c r="D285" s="33" t="s">
        <v>405</v>
      </c>
      <c r="E285" s="33" t="s">
        <v>406</v>
      </c>
      <c r="F285" s="33" t="s">
        <v>94</v>
      </c>
      <c r="G285" s="33" t="s">
        <v>266</v>
      </c>
      <c r="H285" s="33" t="s">
        <v>51</v>
      </c>
      <c r="I285" s="33" t="s">
        <v>407</v>
      </c>
      <c r="J285" s="33" t="s">
        <v>408</v>
      </c>
      <c r="K285" s="37">
        <v>44720</v>
      </c>
      <c r="L285" s="34" t="s">
        <v>76</v>
      </c>
      <c r="M285" s="34" t="s">
        <v>55</v>
      </c>
      <c r="N285" s="35">
        <v>148</v>
      </c>
      <c r="O285" s="35">
        <v>0.5</v>
      </c>
      <c r="P285" s="35">
        <v>0.2</v>
      </c>
      <c r="Q285" s="35">
        <v>0.1</v>
      </c>
      <c r="R285" s="35">
        <v>10.8</v>
      </c>
      <c r="S285" s="35">
        <v>21.9</v>
      </c>
      <c r="T285" s="35">
        <v>5.5549999999999997</v>
      </c>
      <c r="U285" s="35">
        <v>73.5</v>
      </c>
      <c r="V285" s="35">
        <v>16.600000000000001</v>
      </c>
      <c r="W285" s="35">
        <v>6.85</v>
      </c>
      <c r="X285" s="35">
        <v>72.650000000000006</v>
      </c>
      <c r="Y285" s="35">
        <v>45152.5</v>
      </c>
    </row>
    <row r="286" spans="1:25" ht="16.5" x14ac:dyDescent="0.3">
      <c r="A286" s="35">
        <v>2022</v>
      </c>
      <c r="B286" s="35" t="s">
        <v>443</v>
      </c>
      <c r="C286" s="55">
        <v>10</v>
      </c>
      <c r="D286" s="33" t="s">
        <v>405</v>
      </c>
      <c r="E286" s="33" t="s">
        <v>406</v>
      </c>
      <c r="F286" s="33" t="s">
        <v>94</v>
      </c>
      <c r="G286" s="33" t="s">
        <v>266</v>
      </c>
      <c r="H286" s="33" t="s">
        <v>51</v>
      </c>
      <c r="I286" s="33" t="s">
        <v>407</v>
      </c>
      <c r="J286" s="33" t="s">
        <v>408</v>
      </c>
      <c r="K286" s="37">
        <v>44888</v>
      </c>
      <c r="L286" s="34" t="s">
        <v>57</v>
      </c>
      <c r="M286" s="34" t="s">
        <v>55</v>
      </c>
      <c r="N286" s="35">
        <v>158</v>
      </c>
      <c r="O286" s="35">
        <v>1.68</v>
      </c>
      <c r="P286" s="35">
        <v>0.98</v>
      </c>
      <c r="Q286" s="35">
        <v>0.64</v>
      </c>
      <c r="R286" s="35">
        <v>13</v>
      </c>
      <c r="S286" s="35">
        <v>52.7</v>
      </c>
      <c r="T286" s="35">
        <v>5.7050000000000001</v>
      </c>
      <c r="U286" s="35">
        <v>77.25</v>
      </c>
      <c r="V286" s="35">
        <v>17.899999999999999</v>
      </c>
      <c r="W286" s="35">
        <v>6.8550000000000004</v>
      </c>
      <c r="X286" s="35">
        <v>85.05</v>
      </c>
      <c r="Y286" s="35" t="s">
        <v>88</v>
      </c>
    </row>
    <row r="287" spans="1:25" ht="16.5" x14ac:dyDescent="0.3">
      <c r="A287" s="35">
        <v>2023</v>
      </c>
      <c r="B287" s="35" t="s">
        <v>444</v>
      </c>
      <c r="C287" s="55">
        <v>10</v>
      </c>
      <c r="D287" s="33" t="s">
        <v>405</v>
      </c>
      <c r="E287" s="33" t="s">
        <v>406</v>
      </c>
      <c r="F287" s="33" t="s">
        <v>94</v>
      </c>
      <c r="G287" s="33" t="s">
        <v>266</v>
      </c>
      <c r="H287" s="33" t="s">
        <v>51</v>
      </c>
      <c r="I287" s="33" t="s">
        <v>407</v>
      </c>
      <c r="J287" s="33" t="s">
        <v>408</v>
      </c>
      <c r="K287" s="37">
        <v>44985</v>
      </c>
      <c r="L287" s="34" t="s">
        <v>70</v>
      </c>
      <c r="M287" s="34" t="s">
        <v>71</v>
      </c>
      <c r="N287" s="35">
        <v>108</v>
      </c>
      <c r="O287" s="35">
        <v>1.46</v>
      </c>
      <c r="P287" s="35">
        <v>0.94</v>
      </c>
      <c r="Q287" s="35">
        <v>0.7</v>
      </c>
      <c r="R287" s="35">
        <v>10.3</v>
      </c>
      <c r="S287" s="35">
        <v>44.7</v>
      </c>
      <c r="T287" s="35">
        <v>1.905</v>
      </c>
      <c r="U287" s="35">
        <v>28.45</v>
      </c>
      <c r="V287" s="35">
        <v>22.5</v>
      </c>
      <c r="W287" s="35">
        <v>7.05</v>
      </c>
      <c r="X287" s="35">
        <v>225</v>
      </c>
      <c r="Y287" s="35" t="s">
        <v>88</v>
      </c>
    </row>
    <row r="288" spans="1:25" ht="16.5" x14ac:dyDescent="0.3">
      <c r="A288" s="35">
        <v>2023</v>
      </c>
      <c r="B288" s="35" t="s">
        <v>445</v>
      </c>
      <c r="C288" s="55">
        <v>10</v>
      </c>
      <c r="D288" s="33" t="s">
        <v>405</v>
      </c>
      <c r="E288" s="33" t="s">
        <v>406</v>
      </c>
      <c r="F288" s="33" t="s">
        <v>94</v>
      </c>
      <c r="G288" s="33" t="s">
        <v>266</v>
      </c>
      <c r="H288" s="33" t="s">
        <v>51</v>
      </c>
      <c r="I288" s="33" t="s">
        <v>407</v>
      </c>
      <c r="J288" s="33" t="s">
        <v>408</v>
      </c>
      <c r="K288" s="37">
        <v>45056</v>
      </c>
      <c r="L288" s="34" t="s">
        <v>85</v>
      </c>
      <c r="M288" s="34" t="s">
        <v>55</v>
      </c>
      <c r="N288" s="35">
        <v>118</v>
      </c>
      <c r="O288" s="35">
        <v>1</v>
      </c>
      <c r="P288" s="35">
        <v>0.57999999999999996</v>
      </c>
      <c r="Q288" s="35">
        <v>0.28000000000000003</v>
      </c>
      <c r="R288" s="35">
        <v>12.4</v>
      </c>
      <c r="S288" s="35">
        <v>46</v>
      </c>
      <c r="T288" s="35">
        <v>1.69</v>
      </c>
      <c r="U288" s="35">
        <v>24.8</v>
      </c>
      <c r="V288" s="35">
        <v>21.9</v>
      </c>
      <c r="W288" s="35">
        <v>6.9749999999999996</v>
      </c>
      <c r="X288" s="35">
        <v>195.5</v>
      </c>
      <c r="Y288" s="35" t="s">
        <v>88</v>
      </c>
    </row>
    <row r="289" spans="1:25" ht="16.5" x14ac:dyDescent="0.3">
      <c r="A289" s="35">
        <v>2023</v>
      </c>
      <c r="B289" s="35" t="s">
        <v>446</v>
      </c>
      <c r="C289" s="55">
        <v>10</v>
      </c>
      <c r="D289" s="33" t="s">
        <v>405</v>
      </c>
      <c r="E289" s="33" t="s">
        <v>406</v>
      </c>
      <c r="F289" s="33" t="s">
        <v>94</v>
      </c>
      <c r="G289" s="33" t="s">
        <v>266</v>
      </c>
      <c r="H289" s="33" t="s">
        <v>51</v>
      </c>
      <c r="I289" s="33" t="s">
        <v>407</v>
      </c>
      <c r="J289" s="33" t="s">
        <v>408</v>
      </c>
      <c r="K289" s="37">
        <v>45252</v>
      </c>
      <c r="L289" s="34" t="s">
        <v>57</v>
      </c>
      <c r="M289" s="34" t="s">
        <v>55</v>
      </c>
      <c r="N289" s="35">
        <v>130</v>
      </c>
      <c r="O289" s="35">
        <v>0.28000000000000003</v>
      </c>
      <c r="P289" s="35">
        <v>0.16</v>
      </c>
      <c r="Q289" s="35">
        <v>0.04</v>
      </c>
      <c r="R289" s="35">
        <v>4.4000000000000004</v>
      </c>
      <c r="S289" s="35">
        <v>5.6</v>
      </c>
      <c r="T289" s="35">
        <v>4.085</v>
      </c>
      <c r="U289" s="35">
        <v>58.45</v>
      </c>
      <c r="V289" s="35">
        <v>20.5</v>
      </c>
      <c r="W289" s="35">
        <v>6.85</v>
      </c>
      <c r="X289" s="35">
        <v>125.45</v>
      </c>
      <c r="Y289" s="35" t="s">
        <v>88</v>
      </c>
    </row>
    <row r="290" spans="1:25" ht="16.5" x14ac:dyDescent="0.3">
      <c r="A290" s="1">
        <v>2024</v>
      </c>
      <c r="B290" s="1" t="s">
        <v>447</v>
      </c>
      <c r="C290" s="1">
        <v>11</v>
      </c>
      <c r="D290" t="s">
        <v>448</v>
      </c>
      <c r="E290" t="s">
        <v>449</v>
      </c>
      <c r="F290" t="s">
        <v>94</v>
      </c>
      <c r="G290" t="s">
        <v>450</v>
      </c>
      <c r="H290" t="s">
        <v>51</v>
      </c>
      <c r="I290" t="s">
        <v>451</v>
      </c>
      <c r="J290" t="s">
        <v>452</v>
      </c>
      <c r="K290" s="41">
        <v>45461</v>
      </c>
      <c r="L290" s="34" t="s">
        <v>76</v>
      </c>
      <c r="M290" s="34" t="s">
        <v>55</v>
      </c>
      <c r="O290" s="1">
        <v>0.88</v>
      </c>
      <c r="P290" s="1">
        <v>0.46</v>
      </c>
      <c r="Q290" s="1">
        <v>0.28000000000000003</v>
      </c>
      <c r="R290" s="1">
        <v>3.3</v>
      </c>
      <c r="S290" s="1">
        <v>19.7</v>
      </c>
      <c r="T290" s="1">
        <v>3.645</v>
      </c>
      <c r="U290" s="1">
        <v>51.1</v>
      </c>
      <c r="V290" s="1">
        <v>19.899999999999999</v>
      </c>
      <c r="W290" s="1">
        <v>6.8650000000000002</v>
      </c>
      <c r="X290" s="1">
        <v>116.9</v>
      </c>
      <c r="Y290" s="1" t="s">
        <v>88</v>
      </c>
    </row>
    <row r="291" spans="1:25" ht="16.5" x14ac:dyDescent="0.3">
      <c r="A291" s="35">
        <v>2021</v>
      </c>
      <c r="B291" s="35" t="s">
        <v>453</v>
      </c>
      <c r="C291" s="55">
        <v>4</v>
      </c>
      <c r="D291" s="33" t="s">
        <v>454</v>
      </c>
      <c r="E291" s="33" t="s">
        <v>455</v>
      </c>
      <c r="F291" s="33" t="s">
        <v>194</v>
      </c>
      <c r="G291" s="33" t="s">
        <v>64</v>
      </c>
      <c r="H291" s="33" t="s">
        <v>65</v>
      </c>
      <c r="I291" s="33" t="s">
        <v>456</v>
      </c>
      <c r="J291" s="33" t="s">
        <v>457</v>
      </c>
      <c r="K291" s="37">
        <v>44389</v>
      </c>
      <c r="L291" s="34" t="s">
        <v>59</v>
      </c>
      <c r="M291" s="34" t="s">
        <v>55</v>
      </c>
      <c r="N291" s="35">
        <v>314</v>
      </c>
      <c r="O291" s="35">
        <v>1.5</v>
      </c>
      <c r="P291" s="35">
        <v>0.9</v>
      </c>
      <c r="Q291" s="35">
        <v>0.6</v>
      </c>
      <c r="R291" s="35">
        <v>18.399999999999999</v>
      </c>
      <c r="S291" s="35">
        <v>37.4</v>
      </c>
      <c r="T291" s="35">
        <v>4.4000000000000004</v>
      </c>
      <c r="U291" s="35">
        <v>63.1</v>
      </c>
      <c r="V291" s="35">
        <v>20.9</v>
      </c>
      <c r="W291" s="35">
        <v>7</v>
      </c>
      <c r="X291" s="35">
        <v>125.2</v>
      </c>
      <c r="Y291" s="35">
        <v>2401.27</v>
      </c>
    </row>
    <row r="292" spans="1:25" ht="16.5" x14ac:dyDescent="0.3">
      <c r="A292" s="35">
        <v>2019</v>
      </c>
      <c r="B292" s="35" t="s">
        <v>458</v>
      </c>
      <c r="C292" s="55">
        <v>4</v>
      </c>
      <c r="D292" s="33" t="s">
        <v>454</v>
      </c>
      <c r="E292" s="33" t="s">
        <v>455</v>
      </c>
      <c r="F292" s="33" t="s">
        <v>194</v>
      </c>
      <c r="G292" s="33" t="s">
        <v>64</v>
      </c>
      <c r="H292" s="33" t="s">
        <v>65</v>
      </c>
      <c r="I292" s="33" t="s">
        <v>456</v>
      </c>
      <c r="J292" s="33" t="s">
        <v>457</v>
      </c>
      <c r="K292" s="37">
        <v>43794</v>
      </c>
      <c r="L292" s="34" t="s">
        <v>57</v>
      </c>
      <c r="M292" s="34" t="s">
        <v>55</v>
      </c>
      <c r="N292" s="35">
        <v>178</v>
      </c>
      <c r="O292" s="35">
        <v>0.8</v>
      </c>
      <c r="P292" s="35">
        <v>0.2</v>
      </c>
      <c r="Q292" s="35">
        <v>0.1</v>
      </c>
      <c r="R292" s="35">
        <v>21.1</v>
      </c>
      <c r="S292" s="35">
        <v>65.3</v>
      </c>
      <c r="T292" s="35">
        <v>3.42</v>
      </c>
      <c r="U292" s="35">
        <v>48.4</v>
      </c>
      <c r="V292" s="35">
        <v>19.8</v>
      </c>
      <c r="W292" s="35">
        <v>7.16</v>
      </c>
      <c r="X292" s="35">
        <v>106</v>
      </c>
      <c r="Y292" s="35">
        <v>6523.06</v>
      </c>
    </row>
    <row r="293" spans="1:25" ht="16.5" x14ac:dyDescent="0.3">
      <c r="A293" s="35">
        <v>2020</v>
      </c>
      <c r="B293" s="35" t="s">
        <v>459</v>
      </c>
      <c r="C293" s="55">
        <v>4</v>
      </c>
      <c r="D293" s="33" t="s">
        <v>454</v>
      </c>
      <c r="E293" s="33" t="s">
        <v>455</v>
      </c>
      <c r="F293" s="33" t="s">
        <v>194</v>
      </c>
      <c r="G293" s="33" t="s">
        <v>64</v>
      </c>
      <c r="H293" s="33" t="s">
        <v>65</v>
      </c>
      <c r="I293" s="33" t="s">
        <v>456</v>
      </c>
      <c r="J293" s="33" t="s">
        <v>457</v>
      </c>
      <c r="K293" s="37">
        <v>43885</v>
      </c>
      <c r="L293" s="34" t="s">
        <v>70</v>
      </c>
      <c r="M293" s="34" t="s">
        <v>71</v>
      </c>
      <c r="N293" s="35">
        <v>201</v>
      </c>
      <c r="O293" s="35">
        <v>0.9</v>
      </c>
      <c r="P293" s="35">
        <v>0.4</v>
      </c>
      <c r="Q293" s="35">
        <v>0.3</v>
      </c>
      <c r="R293" s="35">
        <v>13.5</v>
      </c>
      <c r="S293" s="35">
        <v>46.1</v>
      </c>
      <c r="T293" s="35">
        <v>2.13</v>
      </c>
      <c r="U293" s="35">
        <v>30.4</v>
      </c>
      <c r="V293" s="35">
        <v>20.399999999999999</v>
      </c>
      <c r="W293" s="35">
        <v>7.19</v>
      </c>
      <c r="X293" s="35">
        <v>153.1</v>
      </c>
      <c r="Y293" s="35">
        <v>2431.75</v>
      </c>
    </row>
    <row r="294" spans="1:25" ht="16.5" x14ac:dyDescent="0.3">
      <c r="A294" s="35">
        <v>2020</v>
      </c>
      <c r="B294" s="35" t="s">
        <v>460</v>
      </c>
      <c r="C294" s="55">
        <v>4</v>
      </c>
      <c r="D294" s="33" t="s">
        <v>454</v>
      </c>
      <c r="E294" s="33" t="s">
        <v>455</v>
      </c>
      <c r="F294" s="33" t="s">
        <v>194</v>
      </c>
      <c r="G294" s="33" t="s">
        <v>64</v>
      </c>
      <c r="H294" s="33" t="s">
        <v>65</v>
      </c>
      <c r="I294" s="33" t="s">
        <v>456</v>
      </c>
      <c r="J294" s="33" t="s">
        <v>457</v>
      </c>
      <c r="K294" s="37">
        <v>44068</v>
      </c>
      <c r="L294" s="34" t="s">
        <v>54</v>
      </c>
      <c r="M294" s="34" t="s">
        <v>55</v>
      </c>
      <c r="N294" s="35">
        <v>222</v>
      </c>
      <c r="O294" s="35">
        <v>0.7</v>
      </c>
      <c r="P294" s="35">
        <v>0.2</v>
      </c>
      <c r="Q294" s="35">
        <v>0.1</v>
      </c>
      <c r="R294" s="35">
        <v>9.5</v>
      </c>
      <c r="S294" s="35">
        <v>41.9</v>
      </c>
      <c r="T294" s="35">
        <v>4.97</v>
      </c>
      <c r="U294" s="35">
        <v>68.599999999999994</v>
      </c>
      <c r="V294" s="35">
        <v>18.600000000000001</v>
      </c>
      <c r="W294" s="35">
        <v>7.05</v>
      </c>
      <c r="X294" s="35">
        <v>99.9</v>
      </c>
      <c r="Y294" s="35">
        <v>5930</v>
      </c>
    </row>
    <row r="295" spans="1:25" ht="16.5" x14ac:dyDescent="0.3">
      <c r="A295" s="35">
        <v>2019</v>
      </c>
      <c r="B295" s="35" t="s">
        <v>461</v>
      </c>
      <c r="C295" s="55">
        <v>4</v>
      </c>
      <c r="D295" s="33" t="s">
        <v>462</v>
      </c>
      <c r="E295" s="33" t="s">
        <v>463</v>
      </c>
      <c r="F295" s="33" t="s">
        <v>194</v>
      </c>
      <c r="G295" s="33" t="s">
        <v>218</v>
      </c>
      <c r="H295" s="33" t="s">
        <v>121</v>
      </c>
      <c r="I295" s="33" t="s">
        <v>464</v>
      </c>
      <c r="J295" s="33" t="s">
        <v>465</v>
      </c>
      <c r="K295" s="37">
        <v>43794</v>
      </c>
      <c r="L295" s="34" t="s">
        <v>57</v>
      </c>
      <c r="M295" s="34" t="s">
        <v>55</v>
      </c>
      <c r="N295" s="35">
        <v>174</v>
      </c>
      <c r="O295" s="35">
        <v>1.8</v>
      </c>
      <c r="P295" s="35">
        <v>1.2</v>
      </c>
      <c r="Q295" s="35">
        <v>0.5</v>
      </c>
      <c r="R295" s="35">
        <v>6.1</v>
      </c>
      <c r="S295" s="35">
        <v>39.700000000000003</v>
      </c>
      <c r="T295" s="35">
        <v>3.98</v>
      </c>
      <c r="U295" s="35">
        <v>55.4</v>
      </c>
      <c r="V295" s="35">
        <v>19.5</v>
      </c>
      <c r="W295" s="35">
        <v>7.17</v>
      </c>
      <c r="X295" s="35">
        <v>308</v>
      </c>
      <c r="Y295" s="35">
        <v>4417.1400000000003</v>
      </c>
    </row>
    <row r="296" spans="1:25" ht="16.5" x14ac:dyDescent="0.3">
      <c r="A296" s="35">
        <v>2020</v>
      </c>
      <c r="B296" s="35" t="s">
        <v>466</v>
      </c>
      <c r="C296" s="55">
        <v>4</v>
      </c>
      <c r="D296" s="33" t="s">
        <v>462</v>
      </c>
      <c r="E296" s="33" t="s">
        <v>463</v>
      </c>
      <c r="F296" s="33" t="s">
        <v>194</v>
      </c>
      <c r="G296" s="33" t="s">
        <v>218</v>
      </c>
      <c r="H296" s="33" t="s">
        <v>121</v>
      </c>
      <c r="I296" s="33" t="s">
        <v>464</v>
      </c>
      <c r="J296" s="33" t="s">
        <v>465</v>
      </c>
      <c r="K296" s="37">
        <v>43885</v>
      </c>
      <c r="L296" s="34" t="s">
        <v>70</v>
      </c>
      <c r="M296" s="34" t="s">
        <v>71</v>
      </c>
      <c r="N296" s="35">
        <v>197</v>
      </c>
      <c r="O296" s="35">
        <v>4.3</v>
      </c>
      <c r="P296" s="35">
        <v>3.3</v>
      </c>
      <c r="Q296" s="35">
        <v>1.4</v>
      </c>
      <c r="R296" s="35">
        <v>11.1</v>
      </c>
      <c r="S296" s="35">
        <v>61.2</v>
      </c>
      <c r="T296" s="35">
        <v>4.13</v>
      </c>
      <c r="U296" s="35">
        <v>57.1</v>
      </c>
      <c r="V296" s="35">
        <v>19.100000000000001</v>
      </c>
      <c r="W296" s="35">
        <v>7.44</v>
      </c>
      <c r="X296" s="35">
        <v>496</v>
      </c>
      <c r="Y296" s="35">
        <v>705.59</v>
      </c>
    </row>
    <row r="297" spans="1:25" ht="16.5" x14ac:dyDescent="0.3">
      <c r="A297" s="35">
        <v>2020</v>
      </c>
      <c r="B297" s="35" t="s">
        <v>467</v>
      </c>
      <c r="C297" s="55">
        <v>4</v>
      </c>
      <c r="D297" s="33" t="s">
        <v>462</v>
      </c>
      <c r="E297" s="33" t="s">
        <v>463</v>
      </c>
      <c r="F297" s="33" t="s">
        <v>194</v>
      </c>
      <c r="G297" s="33" t="s">
        <v>218</v>
      </c>
      <c r="H297" s="33" t="s">
        <v>121</v>
      </c>
      <c r="I297" s="33" t="s">
        <v>464</v>
      </c>
      <c r="J297" s="33" t="s">
        <v>465</v>
      </c>
      <c r="K297" s="37">
        <v>44067</v>
      </c>
      <c r="L297" s="34" t="s">
        <v>54</v>
      </c>
      <c r="M297" s="34" t="s">
        <v>55</v>
      </c>
      <c r="N297" s="35">
        <v>218</v>
      </c>
      <c r="O297" s="35">
        <v>0.9</v>
      </c>
      <c r="P297" s="35">
        <v>0.5</v>
      </c>
      <c r="Q297" s="35">
        <v>0.2</v>
      </c>
      <c r="R297" s="35">
        <v>5.3</v>
      </c>
      <c r="S297" s="35">
        <v>37.1</v>
      </c>
      <c r="T297" s="35">
        <v>5.27</v>
      </c>
      <c r="U297" s="35">
        <v>71.599999999999994</v>
      </c>
      <c r="V297" s="35">
        <v>18.100000000000001</v>
      </c>
      <c r="W297" s="35">
        <v>7.07</v>
      </c>
      <c r="X297" s="35">
        <v>116.3</v>
      </c>
      <c r="Y297" s="35">
        <v>2450</v>
      </c>
    </row>
    <row r="298" spans="1:25" ht="16.5" x14ac:dyDescent="0.3">
      <c r="A298" s="35">
        <v>2020</v>
      </c>
      <c r="B298" s="35" t="s">
        <v>468</v>
      </c>
      <c r="C298" s="55">
        <v>4</v>
      </c>
      <c r="D298" s="33" t="s">
        <v>462</v>
      </c>
      <c r="E298" s="33" t="s">
        <v>463</v>
      </c>
      <c r="F298" s="33" t="s">
        <v>194</v>
      </c>
      <c r="G298" s="33" t="s">
        <v>218</v>
      </c>
      <c r="H298" s="33" t="s">
        <v>121</v>
      </c>
      <c r="I298" s="33" t="s">
        <v>464</v>
      </c>
      <c r="J298" s="33" t="s">
        <v>465</v>
      </c>
      <c r="K298" s="37">
        <v>44158</v>
      </c>
      <c r="L298" s="34" t="s">
        <v>57</v>
      </c>
      <c r="M298" s="34" t="s">
        <v>55</v>
      </c>
      <c r="N298" s="35">
        <v>241</v>
      </c>
      <c r="O298" s="35">
        <v>1.9</v>
      </c>
      <c r="P298" s="35">
        <v>1.2</v>
      </c>
      <c r="Q298" s="35">
        <v>0.7</v>
      </c>
      <c r="R298" s="35">
        <v>3.2</v>
      </c>
      <c r="S298" s="35">
        <v>22.4</v>
      </c>
      <c r="T298" s="35">
        <v>4.8099999999999996</v>
      </c>
      <c r="U298" s="35">
        <v>65.8</v>
      </c>
      <c r="V298" s="35">
        <v>18.5</v>
      </c>
      <c r="W298" s="35">
        <v>7.09</v>
      </c>
      <c r="X298" s="35">
        <v>213.9</v>
      </c>
      <c r="Y298" s="35">
        <v>2400</v>
      </c>
    </row>
    <row r="299" spans="1:25" ht="16.5" x14ac:dyDescent="0.3">
      <c r="A299" s="1">
        <v>2024</v>
      </c>
      <c r="B299" s="1" t="s">
        <v>469</v>
      </c>
      <c r="C299" s="1">
        <v>11</v>
      </c>
      <c r="D299" t="s">
        <v>448</v>
      </c>
      <c r="E299" t="s">
        <v>449</v>
      </c>
      <c r="F299" t="s">
        <v>94</v>
      </c>
      <c r="G299" t="s">
        <v>450</v>
      </c>
      <c r="H299" t="s">
        <v>51</v>
      </c>
      <c r="I299" t="s">
        <v>451</v>
      </c>
      <c r="J299" t="s">
        <v>452</v>
      </c>
      <c r="K299" s="41">
        <v>45622</v>
      </c>
      <c r="L299" s="34" t="s">
        <v>57</v>
      </c>
      <c r="M299" s="1" t="s">
        <v>55</v>
      </c>
      <c r="O299" s="1">
        <v>1.86</v>
      </c>
      <c r="P299" s="1">
        <v>1.22</v>
      </c>
      <c r="Q299" s="1">
        <v>1.1000000000000001</v>
      </c>
      <c r="R299" s="1">
        <v>2.2000000000000002</v>
      </c>
      <c r="S299" s="1">
        <v>9.8000000000000007</v>
      </c>
      <c r="T299" s="1">
        <v>2.7549999999999999</v>
      </c>
      <c r="U299" s="1">
        <v>37.950000000000003</v>
      </c>
      <c r="V299" s="1">
        <v>18.7</v>
      </c>
      <c r="W299" s="1">
        <v>6.77</v>
      </c>
      <c r="X299" s="1">
        <v>123.05</v>
      </c>
      <c r="Y299" s="1" t="s">
        <v>88</v>
      </c>
    </row>
    <row r="300" spans="1:25" ht="16.5" x14ac:dyDescent="0.3">
      <c r="A300" s="35">
        <v>2024</v>
      </c>
      <c r="B300" s="35" t="s">
        <v>470</v>
      </c>
      <c r="C300" s="55">
        <v>11</v>
      </c>
      <c r="D300" s="33" t="s">
        <v>448</v>
      </c>
      <c r="E300" s="33" t="s">
        <v>449</v>
      </c>
      <c r="F300" s="33" t="s">
        <v>94</v>
      </c>
      <c r="G300" s="33" t="s">
        <v>450</v>
      </c>
      <c r="H300" s="33" t="s">
        <v>51</v>
      </c>
      <c r="I300" s="33" t="s">
        <v>451</v>
      </c>
      <c r="J300" s="33" t="s">
        <v>452</v>
      </c>
      <c r="K300" s="37">
        <v>45349</v>
      </c>
      <c r="L300" s="34" t="s">
        <v>70</v>
      </c>
      <c r="M300" s="34" t="s">
        <v>71</v>
      </c>
      <c r="N300" s="35">
        <v>91</v>
      </c>
      <c r="O300" s="35">
        <v>1.28</v>
      </c>
      <c r="P300" s="35">
        <v>0.66</v>
      </c>
      <c r="Q300" s="35">
        <v>0.44</v>
      </c>
      <c r="R300" s="35">
        <v>22.7</v>
      </c>
      <c r="S300" s="35">
        <v>60.7</v>
      </c>
      <c r="T300" s="35">
        <v>0.36</v>
      </c>
      <c r="U300" s="35">
        <v>5.3</v>
      </c>
      <c r="V300" s="35">
        <v>20.399999999999999</v>
      </c>
      <c r="W300" s="35">
        <v>6.9450000000000003</v>
      </c>
      <c r="X300" s="35">
        <v>260.5</v>
      </c>
      <c r="Y300" s="35" t="s">
        <v>88</v>
      </c>
    </row>
    <row r="301" spans="1:25" ht="16.5" x14ac:dyDescent="0.3">
      <c r="A301" s="35">
        <v>2019</v>
      </c>
      <c r="B301" s="35" t="s">
        <v>471</v>
      </c>
      <c r="C301" s="55">
        <v>5</v>
      </c>
      <c r="D301" s="33" t="s">
        <v>436</v>
      </c>
      <c r="E301" s="33" t="s">
        <v>437</v>
      </c>
      <c r="F301" s="33" t="s">
        <v>94</v>
      </c>
      <c r="G301" s="33" t="s">
        <v>183</v>
      </c>
      <c r="H301" s="33" t="s">
        <v>103</v>
      </c>
      <c r="I301" s="33" t="s">
        <v>438</v>
      </c>
      <c r="J301" s="33" t="s">
        <v>439</v>
      </c>
      <c r="K301" s="37">
        <v>43794</v>
      </c>
      <c r="L301" s="34" t="s">
        <v>57</v>
      </c>
      <c r="M301" s="34" t="s">
        <v>55</v>
      </c>
      <c r="N301" s="35">
        <v>183</v>
      </c>
      <c r="O301" s="35">
        <v>1.4</v>
      </c>
      <c r="P301" s="35">
        <v>0.7</v>
      </c>
      <c r="Q301" s="35">
        <v>0.4</v>
      </c>
      <c r="R301" s="35">
        <v>41</v>
      </c>
      <c r="S301" s="35">
        <v>89.1</v>
      </c>
      <c r="T301" s="35">
        <v>4.82</v>
      </c>
      <c r="U301" s="35">
        <v>64.2</v>
      </c>
      <c r="V301" s="35">
        <v>15.4</v>
      </c>
      <c r="W301" s="35">
        <v>6.85</v>
      </c>
      <c r="X301" s="35">
        <v>142.5</v>
      </c>
      <c r="Y301" s="35">
        <v>5357.17</v>
      </c>
    </row>
    <row r="302" spans="1:25" ht="16.5" x14ac:dyDescent="0.3">
      <c r="A302" s="35">
        <v>2020</v>
      </c>
      <c r="B302" s="35" t="s">
        <v>472</v>
      </c>
      <c r="C302" s="55">
        <v>5</v>
      </c>
      <c r="D302" s="33" t="s">
        <v>436</v>
      </c>
      <c r="E302" s="33" t="s">
        <v>437</v>
      </c>
      <c r="F302" s="33" t="s">
        <v>94</v>
      </c>
      <c r="G302" s="33" t="s">
        <v>183</v>
      </c>
      <c r="H302" s="33" t="s">
        <v>103</v>
      </c>
      <c r="I302" s="33" t="s">
        <v>438</v>
      </c>
      <c r="J302" s="33" t="s">
        <v>439</v>
      </c>
      <c r="K302" s="37">
        <v>43885</v>
      </c>
      <c r="L302" s="34" t="s">
        <v>70</v>
      </c>
      <c r="M302" s="34" t="s">
        <v>71</v>
      </c>
      <c r="N302" s="35">
        <v>206</v>
      </c>
      <c r="O302" s="35">
        <v>1.5</v>
      </c>
      <c r="P302" s="35">
        <v>1.2</v>
      </c>
      <c r="Q302" s="35">
        <v>0.9</v>
      </c>
      <c r="R302" s="35">
        <v>14</v>
      </c>
      <c r="S302" s="35">
        <v>69.599999999999994</v>
      </c>
      <c r="T302" s="35">
        <v>2.64</v>
      </c>
      <c r="U302" s="35">
        <v>36.1</v>
      </c>
      <c r="V302" s="35">
        <v>18.600000000000001</v>
      </c>
      <c r="W302" s="35">
        <v>7.21</v>
      </c>
      <c r="X302" s="35">
        <v>247</v>
      </c>
      <c r="Y302" s="35">
        <v>1294.44</v>
      </c>
    </row>
    <row r="303" spans="1:25" ht="16.5" x14ac:dyDescent="0.3">
      <c r="A303" s="35">
        <v>2020</v>
      </c>
      <c r="B303" s="35" t="s">
        <v>473</v>
      </c>
      <c r="C303" s="55">
        <v>5</v>
      </c>
      <c r="D303" s="33" t="s">
        <v>436</v>
      </c>
      <c r="E303" s="33" t="s">
        <v>437</v>
      </c>
      <c r="F303" s="33" t="s">
        <v>94</v>
      </c>
      <c r="G303" s="33" t="s">
        <v>183</v>
      </c>
      <c r="H303" s="33" t="s">
        <v>103</v>
      </c>
      <c r="I303" s="33" t="s">
        <v>438</v>
      </c>
      <c r="J303" s="33" t="s">
        <v>439</v>
      </c>
      <c r="K303" s="37">
        <v>44068</v>
      </c>
      <c r="L303" s="34" t="s">
        <v>54</v>
      </c>
      <c r="M303" s="34" t="s">
        <v>55</v>
      </c>
      <c r="N303" s="35">
        <v>227</v>
      </c>
      <c r="O303" s="35">
        <v>1.1000000000000001</v>
      </c>
      <c r="P303" s="35">
        <v>0.4</v>
      </c>
      <c r="Q303" s="35">
        <v>0.2</v>
      </c>
      <c r="R303" s="35">
        <v>4.5</v>
      </c>
      <c r="S303" s="35">
        <v>17.2</v>
      </c>
      <c r="T303" s="35">
        <v>4.8600000000000003</v>
      </c>
      <c r="U303" s="35">
        <v>66.599999999999994</v>
      </c>
      <c r="V303" s="35">
        <v>18.2</v>
      </c>
      <c r="W303" s="35">
        <v>7.01</v>
      </c>
      <c r="X303" s="35">
        <v>115.8</v>
      </c>
      <c r="Y303" s="35">
        <v>4190</v>
      </c>
    </row>
    <row r="304" spans="1:25" ht="16.5" x14ac:dyDescent="0.3">
      <c r="A304" s="35">
        <v>2020</v>
      </c>
      <c r="B304" s="35" t="s">
        <v>474</v>
      </c>
      <c r="C304" s="55">
        <v>5</v>
      </c>
      <c r="D304" s="33" t="s">
        <v>436</v>
      </c>
      <c r="E304" s="33" t="s">
        <v>437</v>
      </c>
      <c r="F304" s="33" t="s">
        <v>94</v>
      </c>
      <c r="G304" s="33" t="s">
        <v>183</v>
      </c>
      <c r="H304" s="33" t="s">
        <v>103</v>
      </c>
      <c r="I304" s="33" t="s">
        <v>438</v>
      </c>
      <c r="J304" s="33" t="s">
        <v>439</v>
      </c>
      <c r="K304" s="37">
        <v>44159</v>
      </c>
      <c r="L304" s="34" t="s">
        <v>57</v>
      </c>
      <c r="M304" s="34" t="s">
        <v>55</v>
      </c>
      <c r="N304" s="35">
        <v>250</v>
      </c>
      <c r="O304" s="35">
        <v>0.8</v>
      </c>
      <c r="P304" s="35">
        <v>0.4</v>
      </c>
      <c r="Q304" s="35">
        <v>0.2</v>
      </c>
      <c r="R304" s="35">
        <v>3.9</v>
      </c>
      <c r="S304" s="35">
        <v>22.5</v>
      </c>
      <c r="T304" s="35">
        <v>5.76</v>
      </c>
      <c r="U304" s="35">
        <v>79</v>
      </c>
      <c r="V304" s="35">
        <v>17.899999999999999</v>
      </c>
      <c r="W304" s="35">
        <v>6.98</v>
      </c>
      <c r="X304" s="35">
        <v>106.2</v>
      </c>
      <c r="Y304" s="35">
        <v>5560</v>
      </c>
    </row>
    <row r="305" spans="1:25" ht="16.5" x14ac:dyDescent="0.3">
      <c r="A305" s="35">
        <v>2021</v>
      </c>
      <c r="B305" s="35" t="s">
        <v>475</v>
      </c>
      <c r="C305" s="55">
        <v>5</v>
      </c>
      <c r="D305" s="33" t="s">
        <v>436</v>
      </c>
      <c r="E305" s="33" t="s">
        <v>437</v>
      </c>
      <c r="F305" s="33" t="s">
        <v>94</v>
      </c>
      <c r="G305" s="33" t="s">
        <v>183</v>
      </c>
      <c r="H305" s="33" t="s">
        <v>103</v>
      </c>
      <c r="I305" s="33" t="s">
        <v>438</v>
      </c>
      <c r="J305" s="33" t="s">
        <v>439</v>
      </c>
      <c r="K305" s="37">
        <v>44229</v>
      </c>
      <c r="L305" s="34" t="s">
        <v>70</v>
      </c>
      <c r="M305" s="34" t="s">
        <v>71</v>
      </c>
      <c r="N305" s="35">
        <v>273</v>
      </c>
      <c r="O305" s="35">
        <v>0.86</v>
      </c>
      <c r="P305" s="35">
        <v>0.54</v>
      </c>
      <c r="Q305" s="35">
        <v>0.36</v>
      </c>
      <c r="R305" s="35">
        <v>8.4</v>
      </c>
      <c r="S305" s="35">
        <v>23.5</v>
      </c>
      <c r="T305" s="35">
        <v>3.36</v>
      </c>
      <c r="U305" s="35">
        <v>47.7</v>
      </c>
      <c r="V305" s="35">
        <v>19.2</v>
      </c>
      <c r="W305" s="35">
        <v>7.04</v>
      </c>
      <c r="X305" s="35">
        <v>196.4</v>
      </c>
      <c r="Y305" s="35">
        <v>1448.02</v>
      </c>
    </row>
    <row r="306" spans="1:25" ht="16.5" x14ac:dyDescent="0.3">
      <c r="A306" s="35">
        <v>2020</v>
      </c>
      <c r="B306" s="35" t="s">
        <v>476</v>
      </c>
      <c r="C306" s="55">
        <v>11</v>
      </c>
      <c r="D306" s="33" t="s">
        <v>448</v>
      </c>
      <c r="E306" s="33" t="s">
        <v>449</v>
      </c>
      <c r="F306" s="33" t="s">
        <v>94</v>
      </c>
      <c r="G306" s="33" t="s">
        <v>450</v>
      </c>
      <c r="H306" s="33" t="s">
        <v>51</v>
      </c>
      <c r="I306" s="33" t="s">
        <v>451</v>
      </c>
      <c r="J306" s="33" t="s">
        <v>452</v>
      </c>
      <c r="K306" s="37">
        <v>44068</v>
      </c>
      <c r="L306" s="34" t="s">
        <v>54</v>
      </c>
      <c r="M306" s="34" t="s">
        <v>55</v>
      </c>
      <c r="N306" s="35">
        <v>214</v>
      </c>
      <c r="O306" s="35">
        <v>0.9</v>
      </c>
      <c r="P306" s="35">
        <v>0.3</v>
      </c>
      <c r="Q306" s="35">
        <v>0.1</v>
      </c>
      <c r="R306" s="35">
        <v>2.5</v>
      </c>
      <c r="S306" s="35">
        <v>28.6</v>
      </c>
      <c r="T306" s="35">
        <v>3.76</v>
      </c>
      <c r="U306" s="35">
        <v>51.6</v>
      </c>
      <c r="V306" s="35">
        <v>18.7</v>
      </c>
      <c r="W306" s="35">
        <v>6.38</v>
      </c>
      <c r="X306" s="35">
        <v>100.1</v>
      </c>
      <c r="Y306" s="35" t="s">
        <v>88</v>
      </c>
    </row>
    <row r="307" spans="1:25" ht="16.5" x14ac:dyDescent="0.3">
      <c r="A307" s="35">
        <v>2020</v>
      </c>
      <c r="B307" s="35" t="s">
        <v>477</v>
      </c>
      <c r="C307" s="55">
        <v>11</v>
      </c>
      <c r="D307" s="33" t="s">
        <v>448</v>
      </c>
      <c r="E307" s="33" t="s">
        <v>449</v>
      </c>
      <c r="F307" s="33" t="s">
        <v>94</v>
      </c>
      <c r="G307" s="33" t="s">
        <v>450</v>
      </c>
      <c r="H307" s="33" t="s">
        <v>51</v>
      </c>
      <c r="I307" s="33" t="s">
        <v>451</v>
      </c>
      <c r="J307" s="33" t="s">
        <v>452</v>
      </c>
      <c r="K307" s="37">
        <v>44159</v>
      </c>
      <c r="L307" s="34" t="s">
        <v>57</v>
      </c>
      <c r="M307" s="34" t="s">
        <v>55</v>
      </c>
      <c r="N307" s="35">
        <v>236</v>
      </c>
      <c r="O307" s="35">
        <v>0.8</v>
      </c>
      <c r="P307" s="35">
        <v>0.4</v>
      </c>
      <c r="Q307" s="35">
        <v>0.2</v>
      </c>
      <c r="R307" s="35">
        <v>4</v>
      </c>
      <c r="S307" s="35">
        <v>17.5</v>
      </c>
      <c r="T307" s="35">
        <v>4.17</v>
      </c>
      <c r="U307" s="35">
        <v>56.9</v>
      </c>
      <c r="V307" s="35">
        <v>18</v>
      </c>
      <c r="W307" s="35">
        <v>6.23</v>
      </c>
      <c r="X307" s="35">
        <v>106.9</v>
      </c>
      <c r="Y307" s="35" t="s">
        <v>88</v>
      </c>
    </row>
    <row r="308" spans="1:25" ht="16.5" x14ac:dyDescent="0.3">
      <c r="A308" s="35">
        <v>2021</v>
      </c>
      <c r="B308" s="35" t="s">
        <v>478</v>
      </c>
      <c r="C308" s="55">
        <v>11</v>
      </c>
      <c r="D308" s="33" t="s">
        <v>448</v>
      </c>
      <c r="E308" s="33" t="s">
        <v>449</v>
      </c>
      <c r="F308" s="33" t="s">
        <v>94</v>
      </c>
      <c r="G308" s="33" t="s">
        <v>450</v>
      </c>
      <c r="H308" s="33" t="s">
        <v>51</v>
      </c>
      <c r="I308" s="33" t="s">
        <v>451</v>
      </c>
      <c r="J308" s="33" t="s">
        <v>452</v>
      </c>
      <c r="K308" s="37">
        <v>44390</v>
      </c>
      <c r="L308" s="34" t="s">
        <v>59</v>
      </c>
      <c r="M308" s="34" t="s">
        <v>55</v>
      </c>
      <c r="N308" s="35">
        <v>305</v>
      </c>
      <c r="O308" s="35">
        <v>0.5</v>
      </c>
      <c r="P308" s="35">
        <v>0.3</v>
      </c>
      <c r="Q308" s="35">
        <v>0.1</v>
      </c>
      <c r="R308" s="35">
        <v>10.3</v>
      </c>
      <c r="S308" s="35">
        <v>29.9</v>
      </c>
      <c r="T308" s="35">
        <v>4.37</v>
      </c>
      <c r="U308" s="35">
        <v>59.3</v>
      </c>
      <c r="V308" s="35">
        <v>19.7</v>
      </c>
      <c r="W308" s="35">
        <v>6.91</v>
      </c>
      <c r="X308" s="35">
        <v>97.4</v>
      </c>
      <c r="Y308" s="35">
        <v>7543.53</v>
      </c>
    </row>
    <row r="309" spans="1:25" ht="16.5" x14ac:dyDescent="0.3">
      <c r="A309" s="35">
        <v>2019</v>
      </c>
      <c r="B309" s="35" t="s">
        <v>479</v>
      </c>
      <c r="C309" s="55">
        <v>11</v>
      </c>
      <c r="D309" s="33" t="s">
        <v>448</v>
      </c>
      <c r="E309" s="33" t="s">
        <v>449</v>
      </c>
      <c r="F309" s="33" t="s">
        <v>94</v>
      </c>
      <c r="G309" s="33" t="s">
        <v>450</v>
      </c>
      <c r="H309" s="33" t="s">
        <v>51</v>
      </c>
      <c r="I309" s="33" t="s">
        <v>451</v>
      </c>
      <c r="J309" s="33" t="s">
        <v>452</v>
      </c>
      <c r="K309" s="37">
        <v>43794</v>
      </c>
      <c r="L309" s="34" t="s">
        <v>57</v>
      </c>
      <c r="M309" s="34" t="s">
        <v>55</v>
      </c>
      <c r="N309" s="35">
        <v>169</v>
      </c>
      <c r="O309" s="35">
        <v>0.8</v>
      </c>
      <c r="P309" s="35">
        <v>0.3</v>
      </c>
      <c r="Q309" s="35">
        <v>0.1</v>
      </c>
      <c r="R309" s="35">
        <v>4.4000000000000004</v>
      </c>
      <c r="S309" s="35">
        <v>19.3</v>
      </c>
      <c r="T309" s="35">
        <v>3.43</v>
      </c>
      <c r="U309" s="35">
        <v>47.9</v>
      </c>
      <c r="V309" s="35">
        <v>19</v>
      </c>
      <c r="W309" s="35">
        <v>6.65</v>
      </c>
      <c r="X309" s="35">
        <v>96</v>
      </c>
      <c r="Y309" s="35">
        <v>23788.1</v>
      </c>
    </row>
    <row r="310" spans="1:25" ht="16.5" x14ac:dyDescent="0.3">
      <c r="A310" s="35">
        <v>2020</v>
      </c>
      <c r="B310" s="35" t="s">
        <v>480</v>
      </c>
      <c r="C310" s="55">
        <v>11</v>
      </c>
      <c r="D310" s="33" t="s">
        <v>448</v>
      </c>
      <c r="E310" s="33" t="s">
        <v>449</v>
      </c>
      <c r="F310" s="33" t="s">
        <v>94</v>
      </c>
      <c r="G310" s="33" t="s">
        <v>450</v>
      </c>
      <c r="H310" s="33" t="s">
        <v>51</v>
      </c>
      <c r="I310" s="33" t="s">
        <v>451</v>
      </c>
      <c r="J310" s="33" t="s">
        <v>452</v>
      </c>
      <c r="K310" s="37">
        <v>43885</v>
      </c>
      <c r="L310" s="34" t="s">
        <v>70</v>
      </c>
      <c r="M310" s="34" t="s">
        <v>71</v>
      </c>
      <c r="N310" s="35">
        <v>192</v>
      </c>
      <c r="O310" s="35">
        <v>1.3</v>
      </c>
      <c r="P310" s="35">
        <v>0.8</v>
      </c>
      <c r="Q310" s="35">
        <v>0.4</v>
      </c>
      <c r="R310" s="35">
        <v>6.6</v>
      </c>
      <c r="S310" s="35">
        <v>31.4</v>
      </c>
      <c r="T310" s="35">
        <v>1.52</v>
      </c>
      <c r="U310" s="35">
        <v>21.3</v>
      </c>
      <c r="V310" s="35">
        <v>23.2</v>
      </c>
      <c r="W310" s="35">
        <v>7.4</v>
      </c>
      <c r="X310" s="35">
        <v>171.7</v>
      </c>
      <c r="Y310" s="35">
        <v>4245.24</v>
      </c>
    </row>
    <row r="311" spans="1:25" ht="16.5" x14ac:dyDescent="0.3">
      <c r="A311" s="35">
        <v>2021</v>
      </c>
      <c r="B311" s="35" t="s">
        <v>481</v>
      </c>
      <c r="C311" s="55">
        <v>11</v>
      </c>
      <c r="D311" s="33" t="s">
        <v>448</v>
      </c>
      <c r="E311" s="33" t="s">
        <v>449</v>
      </c>
      <c r="F311" s="33" t="s">
        <v>94</v>
      </c>
      <c r="G311" s="33" t="s">
        <v>450</v>
      </c>
      <c r="H311" s="33" t="s">
        <v>51</v>
      </c>
      <c r="I311" s="33" t="s">
        <v>451</v>
      </c>
      <c r="J311" s="33" t="s">
        <v>452</v>
      </c>
      <c r="K311" s="37">
        <v>44229</v>
      </c>
      <c r="L311" s="34" t="s">
        <v>70</v>
      </c>
      <c r="M311" s="34" t="s">
        <v>71</v>
      </c>
      <c r="N311" s="35">
        <v>259</v>
      </c>
      <c r="O311" s="35">
        <v>1.48</v>
      </c>
      <c r="P311" s="35">
        <v>1.06</v>
      </c>
      <c r="Q311" s="35">
        <v>0.7</v>
      </c>
      <c r="R311" s="35">
        <v>7.7</v>
      </c>
      <c r="S311" s="35">
        <v>10</v>
      </c>
      <c r="T311" s="35">
        <v>5.57</v>
      </c>
      <c r="U311" s="35">
        <v>76.400000000000006</v>
      </c>
      <c r="V311" s="35">
        <v>18</v>
      </c>
      <c r="W311" s="35">
        <v>6.91</v>
      </c>
      <c r="X311" s="35">
        <v>160.80000000000001</v>
      </c>
      <c r="Y311" s="35" t="s">
        <v>88</v>
      </c>
    </row>
    <row r="312" spans="1:25" ht="16.5" x14ac:dyDescent="0.3">
      <c r="A312" s="35">
        <v>2021</v>
      </c>
      <c r="B312" s="35" t="s">
        <v>482</v>
      </c>
      <c r="C312" s="55">
        <v>11</v>
      </c>
      <c r="D312" s="33" t="s">
        <v>448</v>
      </c>
      <c r="E312" s="33" t="s">
        <v>449</v>
      </c>
      <c r="F312" s="33" t="s">
        <v>94</v>
      </c>
      <c r="G312" s="33" t="s">
        <v>450</v>
      </c>
      <c r="H312" s="33" t="s">
        <v>51</v>
      </c>
      <c r="I312" s="33" t="s">
        <v>451</v>
      </c>
      <c r="J312" s="33" t="s">
        <v>452</v>
      </c>
      <c r="K312" s="37">
        <v>44536</v>
      </c>
      <c r="L312" s="34" t="s">
        <v>201</v>
      </c>
      <c r="M312" s="34" t="s">
        <v>71</v>
      </c>
      <c r="N312" s="35">
        <v>282</v>
      </c>
      <c r="O312" s="35">
        <v>0.4</v>
      </c>
      <c r="P312" s="35">
        <v>0.3</v>
      </c>
      <c r="Q312" s="35">
        <v>0.1</v>
      </c>
      <c r="R312" s="35">
        <v>3.9</v>
      </c>
      <c r="S312" s="35">
        <v>25.4</v>
      </c>
      <c r="T312" s="35">
        <v>4.84</v>
      </c>
      <c r="U312" s="35">
        <v>67.400000000000006</v>
      </c>
      <c r="V312" s="35">
        <v>19.100000000000001</v>
      </c>
      <c r="W312" s="35">
        <v>6.81</v>
      </c>
      <c r="X312" s="35">
        <v>56.6</v>
      </c>
      <c r="Y312" s="35" t="s">
        <v>88</v>
      </c>
    </row>
    <row r="313" spans="1:25" ht="16.5" x14ac:dyDescent="0.3">
      <c r="A313" s="35">
        <v>2022</v>
      </c>
      <c r="B313" s="35" t="s">
        <v>483</v>
      </c>
      <c r="C313" s="55">
        <v>11</v>
      </c>
      <c r="D313" s="33" t="s">
        <v>448</v>
      </c>
      <c r="E313" s="33" t="s">
        <v>449</v>
      </c>
      <c r="F313" s="33" t="s">
        <v>94</v>
      </c>
      <c r="G313" s="33" t="s">
        <v>450</v>
      </c>
      <c r="H313" s="33" t="s">
        <v>51</v>
      </c>
      <c r="I313" s="33" t="s">
        <v>451</v>
      </c>
      <c r="J313" s="33" t="s">
        <v>452</v>
      </c>
      <c r="K313" s="37">
        <v>44615</v>
      </c>
      <c r="L313" s="34" t="s">
        <v>70</v>
      </c>
      <c r="M313" s="34" t="s">
        <v>71</v>
      </c>
      <c r="N313" s="35">
        <v>139</v>
      </c>
      <c r="O313" s="35">
        <v>0.9</v>
      </c>
      <c r="P313" s="35">
        <v>0.4</v>
      </c>
      <c r="Q313" s="35">
        <v>0.3</v>
      </c>
      <c r="R313" s="35">
        <v>16.2</v>
      </c>
      <c r="S313" s="35">
        <v>56.6</v>
      </c>
      <c r="T313" s="35">
        <v>3.8250000000000002</v>
      </c>
      <c r="U313" s="35">
        <v>55.55</v>
      </c>
      <c r="V313" s="35">
        <v>20.5</v>
      </c>
      <c r="W313" s="35">
        <v>6.76</v>
      </c>
      <c r="X313" s="35">
        <v>114.45</v>
      </c>
      <c r="Y313" s="35">
        <v>21850.6</v>
      </c>
    </row>
    <row r="314" spans="1:25" ht="16.5" x14ac:dyDescent="0.3">
      <c r="A314" s="35">
        <v>2020</v>
      </c>
      <c r="B314" s="35" t="s">
        <v>484</v>
      </c>
      <c r="C314" s="55">
        <v>4</v>
      </c>
      <c r="D314" s="33" t="s">
        <v>454</v>
      </c>
      <c r="E314" s="33" t="s">
        <v>455</v>
      </c>
      <c r="F314" s="33" t="s">
        <v>194</v>
      </c>
      <c r="G314" s="33" t="s">
        <v>64</v>
      </c>
      <c r="H314" s="33" t="s">
        <v>65</v>
      </c>
      <c r="I314" s="33" t="s">
        <v>456</v>
      </c>
      <c r="J314" s="33" t="s">
        <v>457</v>
      </c>
      <c r="K314" s="37">
        <v>44159</v>
      </c>
      <c r="L314" s="34" t="s">
        <v>57</v>
      </c>
      <c r="M314" s="34" t="s">
        <v>55</v>
      </c>
      <c r="N314" s="35">
        <v>245</v>
      </c>
      <c r="O314" s="35">
        <v>0.8</v>
      </c>
      <c r="P314" s="35">
        <v>0.4</v>
      </c>
      <c r="Q314" s="35">
        <v>0.2</v>
      </c>
      <c r="R314" s="35">
        <v>15.5</v>
      </c>
      <c r="S314" s="35">
        <v>47.9</v>
      </c>
      <c r="T314" s="35">
        <v>3.13</v>
      </c>
      <c r="U314" s="35">
        <v>44.8</v>
      </c>
      <c r="V314" s="35">
        <v>20.100000000000001</v>
      </c>
      <c r="W314" s="35">
        <v>6.96</v>
      </c>
      <c r="X314" s="35">
        <v>132.9</v>
      </c>
      <c r="Y314" s="35">
        <v>3910</v>
      </c>
    </row>
    <row r="315" spans="1:25" ht="16.5" x14ac:dyDescent="0.3">
      <c r="A315" s="35">
        <v>2021</v>
      </c>
      <c r="B315" s="35" t="s">
        <v>485</v>
      </c>
      <c r="C315" s="55">
        <v>4</v>
      </c>
      <c r="D315" s="33" t="s">
        <v>454</v>
      </c>
      <c r="E315" s="33" t="s">
        <v>455</v>
      </c>
      <c r="F315" s="33" t="s">
        <v>194</v>
      </c>
      <c r="G315" s="33" t="s">
        <v>64</v>
      </c>
      <c r="H315" s="33" t="s">
        <v>65</v>
      </c>
      <c r="I315" s="33" t="s">
        <v>456</v>
      </c>
      <c r="J315" s="33" t="s">
        <v>457</v>
      </c>
      <c r="K315" s="37">
        <v>44228</v>
      </c>
      <c r="L315" s="34" t="s">
        <v>70</v>
      </c>
      <c r="M315" s="34" t="s">
        <v>71</v>
      </c>
      <c r="N315" s="35">
        <v>268</v>
      </c>
      <c r="O315" s="35">
        <v>0.92</v>
      </c>
      <c r="P315" s="35">
        <v>0.42</v>
      </c>
      <c r="Q315" s="35">
        <v>0.26</v>
      </c>
      <c r="R315" s="35">
        <v>24</v>
      </c>
      <c r="S315" s="35">
        <v>41.8</v>
      </c>
      <c r="T315" s="35">
        <v>1.74</v>
      </c>
      <c r="U315" s="35">
        <v>25.3</v>
      </c>
      <c r="V315" s="35">
        <v>20.8</v>
      </c>
      <c r="W315" s="35">
        <v>7.22</v>
      </c>
      <c r="X315" s="35">
        <v>155.5</v>
      </c>
      <c r="Y315" s="35">
        <v>2883.08</v>
      </c>
    </row>
    <row r="316" spans="1:25" ht="16.5" x14ac:dyDescent="0.3">
      <c r="A316" s="35">
        <v>2021</v>
      </c>
      <c r="B316" s="35" t="s">
        <v>486</v>
      </c>
      <c r="C316" s="55">
        <v>4</v>
      </c>
      <c r="D316" s="33" t="s">
        <v>454</v>
      </c>
      <c r="E316" s="33" t="s">
        <v>455</v>
      </c>
      <c r="F316" s="33" t="s">
        <v>194</v>
      </c>
      <c r="G316" s="33" t="s">
        <v>64</v>
      </c>
      <c r="H316" s="33" t="s">
        <v>65</v>
      </c>
      <c r="I316" s="33" t="s">
        <v>456</v>
      </c>
      <c r="J316" s="33" t="s">
        <v>457</v>
      </c>
      <c r="K316" s="37">
        <v>44529</v>
      </c>
      <c r="L316" s="34" t="s">
        <v>57</v>
      </c>
      <c r="M316" s="34" t="s">
        <v>55</v>
      </c>
      <c r="N316" s="35">
        <v>291</v>
      </c>
      <c r="O316" s="35">
        <v>1.56</v>
      </c>
      <c r="P316" s="35">
        <v>0.87</v>
      </c>
      <c r="Q316" s="35">
        <v>0.59</v>
      </c>
      <c r="R316" s="35">
        <v>6</v>
      </c>
      <c r="S316" s="35">
        <v>38.299999999999997</v>
      </c>
      <c r="T316" s="35">
        <v>4.8600000000000003</v>
      </c>
      <c r="U316" s="35">
        <v>68.75</v>
      </c>
      <c r="V316" s="35">
        <v>19.399999999999999</v>
      </c>
      <c r="W316" s="35">
        <v>6.86</v>
      </c>
      <c r="X316" s="35">
        <v>117.75</v>
      </c>
      <c r="Y316" s="35" t="s">
        <v>88</v>
      </c>
    </row>
    <row r="317" spans="1:25" ht="16.5" x14ac:dyDescent="0.3">
      <c r="A317" s="35">
        <v>2022</v>
      </c>
      <c r="B317" s="35" t="s">
        <v>487</v>
      </c>
      <c r="C317" s="55">
        <v>4</v>
      </c>
      <c r="D317" s="33" t="s">
        <v>454</v>
      </c>
      <c r="E317" s="33" t="s">
        <v>455</v>
      </c>
      <c r="F317" s="33" t="s">
        <v>194</v>
      </c>
      <c r="G317" s="33" t="s">
        <v>64</v>
      </c>
      <c r="H317" s="33" t="s">
        <v>65</v>
      </c>
      <c r="I317" s="33" t="s">
        <v>456</v>
      </c>
      <c r="J317" s="33" t="s">
        <v>457</v>
      </c>
      <c r="K317" s="37">
        <v>44621</v>
      </c>
      <c r="L317" s="34" t="s">
        <v>130</v>
      </c>
      <c r="M317" s="34" t="s">
        <v>71</v>
      </c>
      <c r="N317" s="35">
        <v>61</v>
      </c>
      <c r="O317" s="35">
        <v>3.32</v>
      </c>
      <c r="P317" s="35">
        <v>1.82</v>
      </c>
      <c r="Q317" s="35">
        <v>1.22</v>
      </c>
      <c r="R317" s="35">
        <v>68.3</v>
      </c>
      <c r="S317" s="35">
        <v>121.1</v>
      </c>
      <c r="T317" s="35">
        <v>1.885</v>
      </c>
      <c r="U317" s="35">
        <v>25.75</v>
      </c>
      <c r="V317" s="35">
        <v>18.100000000000001</v>
      </c>
      <c r="W317" s="35">
        <v>7.085</v>
      </c>
      <c r="X317" s="35">
        <v>151.75</v>
      </c>
      <c r="Y317" s="35">
        <v>3837.2</v>
      </c>
    </row>
    <row r="318" spans="1:25" ht="16.5" x14ac:dyDescent="0.3">
      <c r="A318" s="35">
        <v>2021</v>
      </c>
      <c r="B318" s="35" t="s">
        <v>488</v>
      </c>
      <c r="C318" s="55">
        <v>4</v>
      </c>
      <c r="D318" s="33" t="s">
        <v>462</v>
      </c>
      <c r="E318" s="33" t="s">
        <v>463</v>
      </c>
      <c r="F318" s="33" t="s">
        <v>194</v>
      </c>
      <c r="G318" s="33" t="s">
        <v>218</v>
      </c>
      <c r="H318" s="33" t="s">
        <v>121</v>
      </c>
      <c r="I318" s="33" t="s">
        <v>464</v>
      </c>
      <c r="J318" s="33" t="s">
        <v>465</v>
      </c>
      <c r="K318" s="37">
        <v>44228</v>
      </c>
      <c r="L318" s="34" t="s">
        <v>70</v>
      </c>
      <c r="M318" s="34" t="s">
        <v>71</v>
      </c>
      <c r="N318" s="35">
        <v>264</v>
      </c>
      <c r="O318" s="35">
        <v>3.83</v>
      </c>
      <c r="P318" s="35">
        <v>3.37</v>
      </c>
      <c r="Q318" s="35">
        <v>1.57</v>
      </c>
      <c r="R318" s="35">
        <v>4.8</v>
      </c>
      <c r="S318" s="35">
        <v>39.200000000000003</v>
      </c>
      <c r="T318" s="35">
        <v>4.7300000000000004</v>
      </c>
      <c r="U318" s="35">
        <v>63.4</v>
      </c>
      <c r="V318" s="35">
        <v>19.399999999999999</v>
      </c>
      <c r="W318" s="35">
        <v>7.25</v>
      </c>
      <c r="X318" s="35">
        <v>306</v>
      </c>
      <c r="Y318" s="35">
        <v>1001.99</v>
      </c>
    </row>
    <row r="319" spans="1:25" ht="16.5" x14ac:dyDescent="0.3">
      <c r="A319" s="35">
        <v>2021</v>
      </c>
      <c r="B319" s="35" t="s">
        <v>489</v>
      </c>
      <c r="C319" s="55">
        <v>4</v>
      </c>
      <c r="D319" s="33" t="s">
        <v>462</v>
      </c>
      <c r="E319" s="33" t="s">
        <v>463</v>
      </c>
      <c r="F319" s="33" t="s">
        <v>194</v>
      </c>
      <c r="G319" s="33" t="s">
        <v>218</v>
      </c>
      <c r="H319" s="33" t="s">
        <v>121</v>
      </c>
      <c r="I319" s="33" t="s">
        <v>464</v>
      </c>
      <c r="J319" s="33" t="s">
        <v>465</v>
      </c>
      <c r="K319" s="37">
        <v>44390</v>
      </c>
      <c r="L319" s="34" t="s">
        <v>59</v>
      </c>
      <c r="M319" s="34" t="s">
        <v>55</v>
      </c>
      <c r="N319" s="35">
        <v>310</v>
      </c>
      <c r="O319" s="35">
        <v>1</v>
      </c>
      <c r="P319" s="35">
        <v>0.7</v>
      </c>
      <c r="Q319" s="35">
        <v>0.2</v>
      </c>
      <c r="R319" s="35">
        <v>11.5</v>
      </c>
      <c r="S319" s="35">
        <v>29.4</v>
      </c>
      <c r="T319" s="35">
        <v>6.09</v>
      </c>
      <c r="U319" s="35">
        <v>83.6</v>
      </c>
      <c r="V319" s="35">
        <v>18.600000000000001</v>
      </c>
      <c r="W319" s="35">
        <v>7.05</v>
      </c>
      <c r="X319" s="35">
        <v>118.2</v>
      </c>
      <c r="Y319" s="35">
        <v>1659.64</v>
      </c>
    </row>
    <row r="320" spans="1:25" ht="16.5" x14ac:dyDescent="0.3">
      <c r="A320" s="35">
        <v>2021</v>
      </c>
      <c r="B320" s="35" t="s">
        <v>490</v>
      </c>
      <c r="C320" s="55">
        <v>4</v>
      </c>
      <c r="D320" s="33" t="s">
        <v>462</v>
      </c>
      <c r="E320" s="33" t="s">
        <v>463</v>
      </c>
      <c r="F320" s="33" t="s">
        <v>194</v>
      </c>
      <c r="G320" s="33" t="s">
        <v>218</v>
      </c>
      <c r="H320" s="33" t="s">
        <v>121</v>
      </c>
      <c r="I320" s="33" t="s">
        <v>464</v>
      </c>
      <c r="J320" s="33" t="s">
        <v>465</v>
      </c>
      <c r="K320" s="37">
        <v>44529</v>
      </c>
      <c r="L320" s="34" t="s">
        <v>57</v>
      </c>
      <c r="M320" s="34" t="s">
        <v>55</v>
      </c>
      <c r="N320" s="35">
        <v>287</v>
      </c>
      <c r="O320" s="35">
        <v>1.98</v>
      </c>
      <c r="P320" s="35">
        <v>1.33</v>
      </c>
      <c r="Q320" s="35">
        <v>0.8</v>
      </c>
      <c r="R320" s="35">
        <v>1.7</v>
      </c>
      <c r="S320" s="35">
        <v>20.9</v>
      </c>
      <c r="T320" s="35">
        <v>4.5999999999999996</v>
      </c>
      <c r="U320" s="35">
        <v>64.599999999999994</v>
      </c>
      <c r="V320" s="35">
        <v>19.600000000000001</v>
      </c>
      <c r="W320" s="35">
        <v>6.83</v>
      </c>
      <c r="X320" s="35">
        <v>169.5</v>
      </c>
      <c r="Y320" s="35" t="s">
        <v>88</v>
      </c>
    </row>
    <row r="321" spans="1:25" ht="16.5" x14ac:dyDescent="0.3">
      <c r="A321" s="35">
        <v>2022</v>
      </c>
      <c r="B321" s="35" t="s">
        <v>491</v>
      </c>
      <c r="C321" s="55">
        <v>4</v>
      </c>
      <c r="D321" s="33" t="s">
        <v>462</v>
      </c>
      <c r="E321" s="33" t="s">
        <v>463</v>
      </c>
      <c r="F321" s="33" t="s">
        <v>194</v>
      </c>
      <c r="G321" s="33" t="s">
        <v>218</v>
      </c>
      <c r="H321" s="33" t="s">
        <v>121</v>
      </c>
      <c r="I321" s="33" t="s">
        <v>464</v>
      </c>
      <c r="J321" s="33" t="s">
        <v>465</v>
      </c>
      <c r="K321" s="37">
        <v>44621</v>
      </c>
      <c r="L321" s="34" t="s">
        <v>130</v>
      </c>
      <c r="M321" s="34" t="s">
        <v>71</v>
      </c>
      <c r="N321" s="35">
        <v>65</v>
      </c>
      <c r="O321" s="35">
        <v>2.08</v>
      </c>
      <c r="P321" s="35">
        <v>1.2</v>
      </c>
      <c r="Q321" s="35">
        <v>0.84</v>
      </c>
      <c r="R321" s="35">
        <v>12.5</v>
      </c>
      <c r="S321" s="35">
        <v>48.7</v>
      </c>
      <c r="T321" s="35">
        <v>3.7450000000000001</v>
      </c>
      <c r="U321" s="35">
        <v>52.2</v>
      </c>
      <c r="V321" s="35">
        <v>18.600000000000001</v>
      </c>
      <c r="W321" s="35">
        <v>6.81</v>
      </c>
      <c r="X321" s="35">
        <v>167.8</v>
      </c>
      <c r="Y321" s="35">
        <v>1922.4</v>
      </c>
    </row>
    <row r="322" spans="1:25" ht="16.5" x14ac:dyDescent="0.3">
      <c r="A322" s="35">
        <v>2022</v>
      </c>
      <c r="B322" s="35" t="s">
        <v>492</v>
      </c>
      <c r="C322" s="55">
        <v>11</v>
      </c>
      <c r="D322" s="33" t="s">
        <v>448</v>
      </c>
      <c r="E322" s="33" t="s">
        <v>449</v>
      </c>
      <c r="F322" s="33" t="s">
        <v>94</v>
      </c>
      <c r="G322" s="33" t="s">
        <v>450</v>
      </c>
      <c r="H322" s="33" t="s">
        <v>51</v>
      </c>
      <c r="I322" s="33" t="s">
        <v>451</v>
      </c>
      <c r="J322" s="33" t="s">
        <v>452</v>
      </c>
      <c r="K322" s="37">
        <v>44720</v>
      </c>
      <c r="L322" s="34" t="s">
        <v>76</v>
      </c>
      <c r="M322" s="34" t="s">
        <v>55</v>
      </c>
      <c r="N322" s="35">
        <v>149</v>
      </c>
      <c r="O322" s="35">
        <v>0.7</v>
      </c>
      <c r="P322" s="35">
        <v>0.3</v>
      </c>
      <c r="Q322" s="35">
        <v>0.2</v>
      </c>
      <c r="R322" s="35">
        <v>10.199999999999999</v>
      </c>
      <c r="S322" s="35">
        <v>24</v>
      </c>
      <c r="T322" s="35">
        <v>4.9749999999999996</v>
      </c>
      <c r="U322" s="35">
        <v>66.05</v>
      </c>
      <c r="V322" s="35">
        <v>16.7</v>
      </c>
      <c r="W322" s="35">
        <v>6.65</v>
      </c>
      <c r="X322" s="35">
        <v>89.65</v>
      </c>
      <c r="Y322" s="35" t="s">
        <v>88</v>
      </c>
    </row>
    <row r="323" spans="1:25" ht="16.5" x14ac:dyDescent="0.3">
      <c r="A323" s="35">
        <v>2022</v>
      </c>
      <c r="B323" s="35" t="s">
        <v>493</v>
      </c>
      <c r="C323" s="55">
        <v>11</v>
      </c>
      <c r="D323" s="33" t="s">
        <v>448</v>
      </c>
      <c r="E323" s="33" t="s">
        <v>449</v>
      </c>
      <c r="F323" s="33" t="s">
        <v>94</v>
      </c>
      <c r="G323" s="33" t="s">
        <v>450</v>
      </c>
      <c r="H323" s="33" t="s">
        <v>51</v>
      </c>
      <c r="I323" s="33" t="s">
        <v>451</v>
      </c>
      <c r="J323" s="33" t="s">
        <v>452</v>
      </c>
      <c r="K323" s="37">
        <v>44888</v>
      </c>
      <c r="L323" s="34" t="s">
        <v>57</v>
      </c>
      <c r="M323" s="34" t="s">
        <v>55</v>
      </c>
      <c r="N323" s="35">
        <v>159</v>
      </c>
      <c r="O323" s="35">
        <v>0.78</v>
      </c>
      <c r="P323" s="35">
        <v>0.34</v>
      </c>
      <c r="Q323" s="35">
        <v>0.16</v>
      </c>
      <c r="R323" s="35">
        <v>13</v>
      </c>
      <c r="S323" s="35">
        <v>43.3</v>
      </c>
      <c r="T323" s="35">
        <v>5.3</v>
      </c>
      <c r="U323" s="35">
        <v>72</v>
      </c>
      <c r="V323" s="35">
        <v>17.100000000000001</v>
      </c>
      <c r="W323" s="35">
        <v>6.54</v>
      </c>
      <c r="X323" s="35">
        <v>69.2</v>
      </c>
      <c r="Y323" s="35" t="s">
        <v>88</v>
      </c>
    </row>
    <row r="324" spans="1:25" ht="16.5" x14ac:dyDescent="0.3">
      <c r="A324" s="35">
        <v>2023</v>
      </c>
      <c r="B324" s="35" t="s">
        <v>494</v>
      </c>
      <c r="C324" s="55">
        <v>11</v>
      </c>
      <c r="D324" s="33" t="s">
        <v>448</v>
      </c>
      <c r="E324" s="33" t="s">
        <v>449</v>
      </c>
      <c r="F324" s="33" t="s">
        <v>94</v>
      </c>
      <c r="G324" s="33" t="s">
        <v>450</v>
      </c>
      <c r="H324" s="33" t="s">
        <v>51</v>
      </c>
      <c r="I324" s="33" t="s">
        <v>451</v>
      </c>
      <c r="J324" s="33" t="s">
        <v>452</v>
      </c>
      <c r="K324" s="37">
        <v>44986</v>
      </c>
      <c r="L324" s="34" t="s">
        <v>130</v>
      </c>
      <c r="M324" s="34" t="s">
        <v>71</v>
      </c>
      <c r="N324" s="35">
        <v>109</v>
      </c>
      <c r="O324" s="35">
        <v>1.32</v>
      </c>
      <c r="P324" s="35">
        <v>0.72</v>
      </c>
      <c r="Q324" s="35">
        <v>0.46</v>
      </c>
      <c r="R324" s="35" t="s">
        <v>495</v>
      </c>
      <c r="S324" s="35">
        <v>59.6</v>
      </c>
      <c r="T324" s="35">
        <v>0.44</v>
      </c>
      <c r="U324" s="35">
        <v>6.3</v>
      </c>
      <c r="V324" s="35">
        <v>20.399999999999999</v>
      </c>
      <c r="W324" s="35">
        <v>6.44</v>
      </c>
      <c r="X324" s="35">
        <v>198.15</v>
      </c>
      <c r="Y324" s="35" t="s">
        <v>88</v>
      </c>
    </row>
    <row r="325" spans="1:25" ht="16.5" x14ac:dyDescent="0.3">
      <c r="A325" s="35">
        <v>2023</v>
      </c>
      <c r="B325" s="35" t="s">
        <v>496</v>
      </c>
      <c r="C325" s="55">
        <v>11</v>
      </c>
      <c r="D325" s="33" t="s">
        <v>448</v>
      </c>
      <c r="E325" s="33" t="s">
        <v>449</v>
      </c>
      <c r="F325" s="33" t="s">
        <v>94</v>
      </c>
      <c r="G325" s="33" t="s">
        <v>450</v>
      </c>
      <c r="H325" s="33" t="s">
        <v>51</v>
      </c>
      <c r="I325" s="33" t="s">
        <v>451</v>
      </c>
      <c r="J325" s="33" t="s">
        <v>452</v>
      </c>
      <c r="K325" s="37">
        <v>45056</v>
      </c>
      <c r="L325" s="34" t="s">
        <v>85</v>
      </c>
      <c r="M325" s="34" t="s">
        <v>55</v>
      </c>
      <c r="N325" s="35">
        <v>119</v>
      </c>
      <c r="O325" s="35">
        <v>0.68</v>
      </c>
      <c r="P325" s="35">
        <v>0.4</v>
      </c>
      <c r="Q325" s="35">
        <v>0.32</v>
      </c>
      <c r="R325" s="35">
        <v>3.3</v>
      </c>
      <c r="S325" s="35">
        <v>9</v>
      </c>
      <c r="T325" s="35">
        <v>1.855</v>
      </c>
      <c r="U325" s="35">
        <v>28</v>
      </c>
      <c r="V325" s="35">
        <v>23.6</v>
      </c>
      <c r="W325" s="35">
        <v>6.78</v>
      </c>
      <c r="X325" s="35">
        <v>167.3</v>
      </c>
      <c r="Y325" s="35" t="s">
        <v>88</v>
      </c>
    </row>
    <row r="326" spans="1:25" ht="16.5" x14ac:dyDescent="0.3">
      <c r="A326" s="35">
        <v>2023</v>
      </c>
      <c r="B326" s="35" t="s">
        <v>497</v>
      </c>
      <c r="C326" s="55">
        <v>11</v>
      </c>
      <c r="D326" s="33" t="s">
        <v>448</v>
      </c>
      <c r="E326" s="33" t="s">
        <v>449</v>
      </c>
      <c r="F326" s="33" t="s">
        <v>94</v>
      </c>
      <c r="G326" s="33" t="s">
        <v>450</v>
      </c>
      <c r="H326" s="33" t="s">
        <v>51</v>
      </c>
      <c r="I326" s="33" t="s">
        <v>451</v>
      </c>
      <c r="J326" s="33" t="s">
        <v>452</v>
      </c>
      <c r="K326" s="37">
        <v>45251</v>
      </c>
      <c r="L326" s="34" t="s">
        <v>57</v>
      </c>
      <c r="M326" s="34" t="s">
        <v>55</v>
      </c>
      <c r="N326" s="35">
        <v>121</v>
      </c>
      <c r="O326" s="35">
        <v>0.3</v>
      </c>
      <c r="P326" s="35">
        <v>0.12</v>
      </c>
      <c r="Q326" s="35">
        <v>0.04</v>
      </c>
      <c r="R326" s="35">
        <v>3.8</v>
      </c>
      <c r="S326" s="35">
        <v>30.2</v>
      </c>
      <c r="T326" s="35">
        <v>2.9</v>
      </c>
      <c r="U326" s="35">
        <v>39.6</v>
      </c>
      <c r="V326" s="35">
        <v>18.399999999999999</v>
      </c>
      <c r="W326" s="35">
        <v>6.71</v>
      </c>
      <c r="X326" s="35">
        <v>100.65</v>
      </c>
      <c r="Y326" s="35" t="s">
        <v>88</v>
      </c>
    </row>
    <row r="327" spans="1:25" ht="16.5" x14ac:dyDescent="0.3">
      <c r="A327" s="1">
        <v>2024</v>
      </c>
      <c r="B327" s="1" t="s">
        <v>498</v>
      </c>
      <c r="C327" s="1">
        <v>12</v>
      </c>
      <c r="D327" t="s">
        <v>499</v>
      </c>
      <c r="E327" t="s">
        <v>500</v>
      </c>
      <c r="F327" t="s">
        <v>194</v>
      </c>
      <c r="G327" t="s">
        <v>501</v>
      </c>
      <c r="H327" t="s">
        <v>51</v>
      </c>
      <c r="I327" t="s">
        <v>502</v>
      </c>
      <c r="J327" t="s">
        <v>503</v>
      </c>
      <c r="K327" s="41">
        <v>45461</v>
      </c>
      <c r="L327" s="34" t="s">
        <v>76</v>
      </c>
      <c r="M327" s="34" t="s">
        <v>55</v>
      </c>
      <c r="O327" s="1">
        <v>0.8</v>
      </c>
      <c r="P327" s="1">
        <v>0.38</v>
      </c>
      <c r="Q327" s="1">
        <v>0.24</v>
      </c>
      <c r="R327" s="1">
        <v>4.9000000000000004</v>
      </c>
      <c r="S327" s="1">
        <v>10.199999999999999</v>
      </c>
      <c r="T327" s="1">
        <v>6.0649999999999995</v>
      </c>
      <c r="U327" s="1">
        <v>84.25</v>
      </c>
      <c r="V327" s="1">
        <v>18.8</v>
      </c>
      <c r="W327" s="1">
        <v>7.0149999999999997</v>
      </c>
      <c r="X327" s="1">
        <v>104.9</v>
      </c>
      <c r="Y327" s="1" t="s">
        <v>88</v>
      </c>
    </row>
    <row r="328" spans="1:25" ht="16.5" x14ac:dyDescent="0.3">
      <c r="A328" s="1">
        <v>2024</v>
      </c>
      <c r="B328" s="1" t="s">
        <v>504</v>
      </c>
      <c r="C328" s="1">
        <v>12</v>
      </c>
      <c r="D328" t="s">
        <v>499</v>
      </c>
      <c r="E328" t="s">
        <v>500</v>
      </c>
      <c r="F328" t="s">
        <v>194</v>
      </c>
      <c r="G328" t="s">
        <v>501</v>
      </c>
      <c r="H328" t="s">
        <v>51</v>
      </c>
      <c r="I328" t="s">
        <v>502</v>
      </c>
      <c r="J328" t="s">
        <v>503</v>
      </c>
      <c r="K328" s="41">
        <v>45622</v>
      </c>
      <c r="L328" s="34" t="s">
        <v>57</v>
      </c>
      <c r="M328" s="1" t="s">
        <v>55</v>
      </c>
      <c r="O328" s="1">
        <v>0.9</v>
      </c>
      <c r="P328" s="1">
        <v>0.46</v>
      </c>
      <c r="Q328" s="1">
        <v>0.34</v>
      </c>
      <c r="R328" s="1">
        <v>2.6</v>
      </c>
      <c r="S328" s="1">
        <v>16.100000000000001</v>
      </c>
      <c r="T328" s="1">
        <v>4.875</v>
      </c>
      <c r="U328" s="1">
        <v>76.5</v>
      </c>
      <c r="V328" s="1">
        <v>19.2</v>
      </c>
      <c r="W328" s="1">
        <v>6.92</v>
      </c>
      <c r="X328" s="1">
        <v>114.6</v>
      </c>
      <c r="Y328" s="1" t="s">
        <v>88</v>
      </c>
    </row>
    <row r="329" spans="1:25" ht="16.5" x14ac:dyDescent="0.3">
      <c r="A329" s="35">
        <v>2024</v>
      </c>
      <c r="B329" s="35" t="s">
        <v>505</v>
      </c>
      <c r="C329" s="55">
        <v>12</v>
      </c>
      <c r="D329" s="33" t="s">
        <v>499</v>
      </c>
      <c r="E329" s="33" t="s">
        <v>500</v>
      </c>
      <c r="F329" s="33" t="s">
        <v>194</v>
      </c>
      <c r="G329" s="33" t="s">
        <v>501</v>
      </c>
      <c r="H329" s="33" t="s">
        <v>51</v>
      </c>
      <c r="I329" s="33" t="s">
        <v>502</v>
      </c>
      <c r="J329" s="33" t="s">
        <v>503</v>
      </c>
      <c r="K329" s="37">
        <v>45349</v>
      </c>
      <c r="L329" s="34" t="s">
        <v>70</v>
      </c>
      <c r="M329" s="34" t="s">
        <v>71</v>
      </c>
      <c r="N329" s="35">
        <v>92</v>
      </c>
      <c r="O329" s="35">
        <v>1.4</v>
      </c>
      <c r="P329" s="35">
        <v>0.74</v>
      </c>
      <c r="Q329" s="35">
        <v>0.48</v>
      </c>
      <c r="R329" s="35">
        <v>12.7</v>
      </c>
      <c r="S329" s="35">
        <v>37.700000000000003</v>
      </c>
      <c r="T329" s="35">
        <v>3.5150000000000001</v>
      </c>
      <c r="U329" s="35">
        <v>49.2</v>
      </c>
      <c r="V329" s="35">
        <v>19.100000000000001</v>
      </c>
      <c r="W329" s="35">
        <v>7.12</v>
      </c>
      <c r="X329" s="35">
        <v>238</v>
      </c>
      <c r="Y329" s="35" t="s">
        <v>88</v>
      </c>
    </row>
    <row r="330" spans="1:25" ht="16.5" x14ac:dyDescent="0.3">
      <c r="A330" s="35">
        <v>2022</v>
      </c>
      <c r="B330" s="35" t="s">
        <v>506</v>
      </c>
      <c r="C330" s="55">
        <v>4</v>
      </c>
      <c r="D330" s="33" t="s">
        <v>454</v>
      </c>
      <c r="E330" s="33" t="s">
        <v>455</v>
      </c>
      <c r="F330" s="33" t="s">
        <v>194</v>
      </c>
      <c r="G330" s="33" t="s">
        <v>64</v>
      </c>
      <c r="H330" s="33" t="s">
        <v>65</v>
      </c>
      <c r="I330" s="33" t="s">
        <v>456</v>
      </c>
      <c r="J330" s="33" t="s">
        <v>457</v>
      </c>
      <c r="K330" s="37">
        <v>44727</v>
      </c>
      <c r="L330" s="34" t="s">
        <v>76</v>
      </c>
      <c r="M330" s="34" t="s">
        <v>55</v>
      </c>
      <c r="N330" s="35">
        <v>78</v>
      </c>
      <c r="O330" s="35">
        <v>0.57999999999999996</v>
      </c>
      <c r="P330" s="35">
        <v>0.2</v>
      </c>
      <c r="Q330" s="35">
        <v>0.1</v>
      </c>
      <c r="R330" s="35">
        <v>7.7</v>
      </c>
      <c r="S330" s="35">
        <v>29.1</v>
      </c>
      <c r="T330" s="35">
        <v>4.82</v>
      </c>
      <c r="U330" s="35">
        <v>66.5</v>
      </c>
      <c r="V330" s="35">
        <v>18.8</v>
      </c>
      <c r="W330" s="35">
        <v>6.9649999999999999</v>
      </c>
      <c r="X330" s="35">
        <v>92.4</v>
      </c>
      <c r="Y330" s="35">
        <v>5225.3999999999996</v>
      </c>
    </row>
    <row r="331" spans="1:25" ht="16.5" x14ac:dyDescent="0.3">
      <c r="A331" s="35">
        <v>2022</v>
      </c>
      <c r="B331" s="35" t="s">
        <v>507</v>
      </c>
      <c r="C331" s="55">
        <v>4</v>
      </c>
      <c r="D331" s="33" t="s">
        <v>454</v>
      </c>
      <c r="E331" s="33" t="s">
        <v>455</v>
      </c>
      <c r="F331" s="33" t="s">
        <v>194</v>
      </c>
      <c r="G331" s="33" t="s">
        <v>64</v>
      </c>
      <c r="H331" s="33" t="s">
        <v>65</v>
      </c>
      <c r="I331" s="33" t="s">
        <v>456</v>
      </c>
      <c r="J331" s="33" t="s">
        <v>457</v>
      </c>
      <c r="K331" s="37">
        <v>44894</v>
      </c>
      <c r="L331" s="34" t="s">
        <v>57</v>
      </c>
      <c r="M331" s="34" t="s">
        <v>55</v>
      </c>
      <c r="N331" s="35">
        <v>91</v>
      </c>
      <c r="O331" s="35">
        <v>0.26</v>
      </c>
      <c r="P331" s="35">
        <v>0.14000000000000001</v>
      </c>
      <c r="Q331" s="35">
        <v>0.04</v>
      </c>
      <c r="R331" s="35">
        <v>8.9</v>
      </c>
      <c r="S331" s="35">
        <v>26.5</v>
      </c>
      <c r="T331" s="35">
        <v>4.6349999999999998</v>
      </c>
      <c r="U331" s="35">
        <v>64.849999999999994</v>
      </c>
      <c r="V331" s="35">
        <v>18.7</v>
      </c>
      <c r="W331" s="35">
        <v>6.9050000000000002</v>
      </c>
      <c r="X331" s="35">
        <v>111.05</v>
      </c>
      <c r="Y331" s="35" t="s">
        <v>88</v>
      </c>
    </row>
    <row r="332" spans="1:25" ht="16.5" x14ac:dyDescent="0.3">
      <c r="A332" s="35">
        <v>2023</v>
      </c>
      <c r="B332" s="35" t="s">
        <v>508</v>
      </c>
      <c r="C332" s="55">
        <v>4</v>
      </c>
      <c r="D332" s="33" t="s">
        <v>454</v>
      </c>
      <c r="E332" s="33" t="s">
        <v>455</v>
      </c>
      <c r="F332" s="33" t="s">
        <v>194</v>
      </c>
      <c r="G332" s="33" t="s">
        <v>64</v>
      </c>
      <c r="H332" s="33" t="s">
        <v>65</v>
      </c>
      <c r="I332" s="33" t="s">
        <v>456</v>
      </c>
      <c r="J332" s="33" t="s">
        <v>457</v>
      </c>
      <c r="K332" s="37">
        <v>44986</v>
      </c>
      <c r="L332" s="34" t="s">
        <v>130</v>
      </c>
      <c r="M332" s="34" t="s">
        <v>71</v>
      </c>
      <c r="N332" s="35">
        <v>26</v>
      </c>
      <c r="O332" s="35">
        <v>0.82</v>
      </c>
      <c r="P332" s="35">
        <v>0.26</v>
      </c>
      <c r="Q332" s="35">
        <v>0.1</v>
      </c>
      <c r="R332" s="35" t="s">
        <v>509</v>
      </c>
      <c r="S332" s="35">
        <v>60.7</v>
      </c>
      <c r="T332" s="35">
        <v>2.895</v>
      </c>
      <c r="U332" s="35">
        <v>41.5</v>
      </c>
      <c r="V332" s="35">
        <v>20.3</v>
      </c>
      <c r="W332" s="35">
        <v>6.76</v>
      </c>
      <c r="X332" s="35">
        <v>101.95</v>
      </c>
      <c r="Y332" s="35" t="s">
        <v>88</v>
      </c>
    </row>
    <row r="333" spans="1:25" ht="16.5" x14ac:dyDescent="0.3">
      <c r="A333" s="35">
        <v>2023</v>
      </c>
      <c r="B333" s="35" t="s">
        <v>510</v>
      </c>
      <c r="C333" s="55">
        <v>4</v>
      </c>
      <c r="D333" s="33" t="s">
        <v>454</v>
      </c>
      <c r="E333" s="33" t="s">
        <v>455</v>
      </c>
      <c r="F333" s="33" t="s">
        <v>194</v>
      </c>
      <c r="G333" s="33" t="s">
        <v>64</v>
      </c>
      <c r="H333" s="33" t="s">
        <v>65</v>
      </c>
      <c r="I333" s="33" t="s">
        <v>456</v>
      </c>
      <c r="J333" s="33" t="s">
        <v>457</v>
      </c>
      <c r="K333" s="37">
        <v>45056</v>
      </c>
      <c r="L333" s="34" t="s">
        <v>85</v>
      </c>
      <c r="M333" s="34" t="s">
        <v>55</v>
      </c>
      <c r="N333" s="35">
        <v>30</v>
      </c>
      <c r="O333" s="35">
        <v>0.57999999999999996</v>
      </c>
      <c r="P333" s="35">
        <v>0.18</v>
      </c>
      <c r="Q333" s="35">
        <v>0.08</v>
      </c>
      <c r="R333" s="35">
        <v>15.5</v>
      </c>
      <c r="S333" s="35">
        <v>50.1</v>
      </c>
      <c r="T333" s="35">
        <v>1.2649999999999999</v>
      </c>
      <c r="U333" s="35">
        <v>18.600000000000001</v>
      </c>
      <c r="V333" s="35">
        <v>21.9</v>
      </c>
      <c r="W333" s="35">
        <v>7.0049999999999999</v>
      </c>
      <c r="X333" s="35">
        <v>168.95</v>
      </c>
      <c r="Y333" s="35" t="s">
        <v>88</v>
      </c>
    </row>
    <row r="334" spans="1:25" ht="16.5" x14ac:dyDescent="0.3">
      <c r="A334" s="35">
        <v>2020</v>
      </c>
      <c r="B334" s="35" t="s">
        <v>511</v>
      </c>
      <c r="C334" s="55">
        <v>12</v>
      </c>
      <c r="D334" s="33" t="s">
        <v>499</v>
      </c>
      <c r="E334" s="33" t="s">
        <v>500</v>
      </c>
      <c r="F334" s="33" t="s">
        <v>194</v>
      </c>
      <c r="G334" s="33" t="s">
        <v>501</v>
      </c>
      <c r="H334" s="33" t="s">
        <v>51</v>
      </c>
      <c r="I334" s="33" t="s">
        <v>502</v>
      </c>
      <c r="J334" s="33" t="s">
        <v>503</v>
      </c>
      <c r="K334" s="37">
        <v>44159</v>
      </c>
      <c r="L334" s="34" t="s">
        <v>57</v>
      </c>
      <c r="M334" s="34" t="s">
        <v>55</v>
      </c>
      <c r="N334" s="35">
        <v>237</v>
      </c>
      <c r="O334" s="35">
        <v>0.8</v>
      </c>
      <c r="P334" s="35">
        <v>0.4</v>
      </c>
      <c r="Q334" s="35">
        <v>0.2</v>
      </c>
      <c r="R334" s="35">
        <v>4</v>
      </c>
      <c r="S334" s="35">
        <v>23.9</v>
      </c>
      <c r="T334" s="35">
        <v>6.36</v>
      </c>
      <c r="U334" s="35">
        <v>89.4</v>
      </c>
      <c r="V334" s="35">
        <v>19.399999999999999</v>
      </c>
      <c r="W334" s="35">
        <v>6.89</v>
      </c>
      <c r="X334" s="35">
        <v>131.6</v>
      </c>
      <c r="Y334" s="35">
        <v>7150</v>
      </c>
    </row>
    <row r="335" spans="1:25" ht="16.5" x14ac:dyDescent="0.3">
      <c r="A335" s="35">
        <v>2021</v>
      </c>
      <c r="B335" s="35" t="s">
        <v>512</v>
      </c>
      <c r="C335" s="55">
        <v>12</v>
      </c>
      <c r="D335" s="33" t="s">
        <v>499</v>
      </c>
      <c r="E335" s="33" t="s">
        <v>500</v>
      </c>
      <c r="F335" s="33" t="s">
        <v>194</v>
      </c>
      <c r="G335" s="33" t="s">
        <v>501</v>
      </c>
      <c r="H335" s="33" t="s">
        <v>51</v>
      </c>
      <c r="I335" s="33" t="s">
        <v>502</v>
      </c>
      <c r="J335" s="33" t="s">
        <v>503</v>
      </c>
      <c r="K335" s="37">
        <v>44390</v>
      </c>
      <c r="L335" s="34" t="s">
        <v>59</v>
      </c>
      <c r="M335" s="34" t="s">
        <v>55</v>
      </c>
      <c r="N335" s="35">
        <v>306</v>
      </c>
      <c r="O335" s="35">
        <v>1</v>
      </c>
      <c r="P335" s="35">
        <v>0.6</v>
      </c>
      <c r="Q335" s="35">
        <v>0.4</v>
      </c>
      <c r="R335" s="35">
        <v>11.7</v>
      </c>
      <c r="S335" s="35">
        <v>54.2</v>
      </c>
      <c r="T335" s="35">
        <v>6.62</v>
      </c>
      <c r="U335" s="35">
        <v>91.2</v>
      </c>
      <c r="V335" s="35">
        <v>18.5</v>
      </c>
      <c r="W335" s="35">
        <v>7.28</v>
      </c>
      <c r="X335" s="35">
        <v>46.9</v>
      </c>
      <c r="Y335" s="35" t="s">
        <v>88</v>
      </c>
    </row>
    <row r="336" spans="1:25" ht="16.5" x14ac:dyDescent="0.3">
      <c r="A336" s="35">
        <v>2021</v>
      </c>
      <c r="B336" s="35" t="s">
        <v>513</v>
      </c>
      <c r="C336" s="55">
        <v>5</v>
      </c>
      <c r="D336" s="33" t="s">
        <v>436</v>
      </c>
      <c r="E336" s="33" t="s">
        <v>437</v>
      </c>
      <c r="F336" s="33" t="s">
        <v>94</v>
      </c>
      <c r="G336" s="33" t="s">
        <v>183</v>
      </c>
      <c r="H336" s="33" t="s">
        <v>103</v>
      </c>
      <c r="I336" s="33" t="s">
        <v>438</v>
      </c>
      <c r="J336" s="33" t="s">
        <v>439</v>
      </c>
      <c r="K336" s="37">
        <v>44529</v>
      </c>
      <c r="L336" s="34" t="s">
        <v>57</v>
      </c>
      <c r="M336" s="34" t="s">
        <v>55</v>
      </c>
      <c r="N336" s="35">
        <v>296</v>
      </c>
      <c r="O336" s="35">
        <v>1.3</v>
      </c>
      <c r="P336" s="35">
        <v>0.6</v>
      </c>
      <c r="Q336" s="35">
        <v>0.4</v>
      </c>
      <c r="R336" s="35">
        <v>3.9</v>
      </c>
      <c r="S336" s="35">
        <v>23.1</v>
      </c>
      <c r="T336" s="35">
        <v>5.54</v>
      </c>
      <c r="U336" s="35">
        <v>75.3</v>
      </c>
      <c r="V336" s="35">
        <v>18.600000000000001</v>
      </c>
      <c r="W336" s="35">
        <v>6.78</v>
      </c>
      <c r="X336" s="35">
        <v>89.9</v>
      </c>
      <c r="Y336" s="35" t="s">
        <v>88</v>
      </c>
    </row>
    <row r="337" spans="1:25" ht="16.5" x14ac:dyDescent="0.3">
      <c r="A337" s="35">
        <v>2022</v>
      </c>
      <c r="B337" s="35" t="s">
        <v>514</v>
      </c>
      <c r="C337" s="55">
        <v>5</v>
      </c>
      <c r="D337" s="33" t="s">
        <v>436</v>
      </c>
      <c r="E337" s="33" t="s">
        <v>437</v>
      </c>
      <c r="F337" s="33" t="s">
        <v>94</v>
      </c>
      <c r="G337" s="33" t="s">
        <v>183</v>
      </c>
      <c r="H337" s="33" t="s">
        <v>103</v>
      </c>
      <c r="I337" s="33" t="s">
        <v>438</v>
      </c>
      <c r="J337" s="33" t="s">
        <v>439</v>
      </c>
      <c r="K337" s="37">
        <v>44621</v>
      </c>
      <c r="L337" s="34" t="s">
        <v>130</v>
      </c>
      <c r="M337" s="34" t="s">
        <v>71</v>
      </c>
      <c r="N337" s="35">
        <v>57</v>
      </c>
      <c r="O337" s="35">
        <v>1.56</v>
      </c>
      <c r="P337" s="35">
        <v>0.76</v>
      </c>
      <c r="Q337" s="35">
        <v>0.57999999999999996</v>
      </c>
      <c r="R337" s="35">
        <v>11.1</v>
      </c>
      <c r="S337" s="35">
        <v>37.6</v>
      </c>
      <c r="T337" s="35">
        <v>5.56</v>
      </c>
      <c r="U337" s="35">
        <v>73.900000000000006</v>
      </c>
      <c r="V337" s="35">
        <v>17.100000000000001</v>
      </c>
      <c r="W337" s="35">
        <v>7.09</v>
      </c>
      <c r="X337" s="35">
        <v>102.2</v>
      </c>
      <c r="Y337" s="35">
        <v>3912.9</v>
      </c>
    </row>
    <row r="338" spans="1:25" ht="16.5" x14ac:dyDescent="0.3">
      <c r="A338" s="35">
        <v>2022</v>
      </c>
      <c r="B338" s="35" t="s">
        <v>515</v>
      </c>
      <c r="C338" s="55">
        <v>5</v>
      </c>
      <c r="D338" s="33" t="s">
        <v>436</v>
      </c>
      <c r="E338" s="33" t="s">
        <v>437</v>
      </c>
      <c r="F338" s="33" t="s">
        <v>94</v>
      </c>
      <c r="G338" s="33" t="s">
        <v>183</v>
      </c>
      <c r="H338" s="33" t="s">
        <v>103</v>
      </c>
      <c r="I338" s="33" t="s">
        <v>438</v>
      </c>
      <c r="J338" s="33" t="s">
        <v>439</v>
      </c>
      <c r="K338" s="37">
        <v>44720</v>
      </c>
      <c r="L338" s="34" t="s">
        <v>76</v>
      </c>
      <c r="M338" s="34" t="s">
        <v>55</v>
      </c>
      <c r="N338" s="35">
        <v>70</v>
      </c>
      <c r="O338" s="35">
        <v>0.36</v>
      </c>
      <c r="P338" s="35">
        <v>0.13</v>
      </c>
      <c r="Q338" s="35">
        <v>0.38</v>
      </c>
      <c r="R338" s="35">
        <v>12.6</v>
      </c>
      <c r="S338" s="35">
        <v>30.2</v>
      </c>
      <c r="T338" s="35">
        <v>6.04</v>
      </c>
      <c r="U338" s="35">
        <v>83</v>
      </c>
      <c r="V338" s="35">
        <v>17</v>
      </c>
      <c r="W338" s="35">
        <v>6.9950000000000001</v>
      </c>
      <c r="X338" s="35">
        <v>85.05</v>
      </c>
      <c r="Y338" s="35">
        <v>7197</v>
      </c>
    </row>
    <row r="339" spans="1:25" ht="16.5" x14ac:dyDescent="0.3">
      <c r="A339" s="35">
        <v>2022</v>
      </c>
      <c r="B339" s="35" t="s">
        <v>516</v>
      </c>
      <c r="C339" s="55">
        <v>5</v>
      </c>
      <c r="D339" s="33" t="s">
        <v>436</v>
      </c>
      <c r="E339" s="33" t="s">
        <v>437</v>
      </c>
      <c r="F339" s="33" t="s">
        <v>94</v>
      </c>
      <c r="G339" s="33" t="s">
        <v>183</v>
      </c>
      <c r="H339" s="33" t="s">
        <v>103</v>
      </c>
      <c r="I339" s="33" t="s">
        <v>438</v>
      </c>
      <c r="J339" s="33" t="s">
        <v>439</v>
      </c>
      <c r="K339" s="37">
        <v>44888</v>
      </c>
      <c r="L339" s="34" t="s">
        <v>57</v>
      </c>
      <c r="M339" s="34" t="s">
        <v>55</v>
      </c>
      <c r="N339" s="35">
        <v>83</v>
      </c>
      <c r="O339" s="35">
        <v>0.56000000000000005</v>
      </c>
      <c r="P339" s="35">
        <v>0.27</v>
      </c>
      <c r="Q339" s="35">
        <v>0.11</v>
      </c>
      <c r="R339" s="35">
        <v>11.1</v>
      </c>
      <c r="S339" s="35">
        <v>35.5</v>
      </c>
      <c r="T339" s="35">
        <v>6.1550000000000002</v>
      </c>
      <c r="U339" s="35">
        <v>84.6</v>
      </c>
      <c r="V339" s="35">
        <v>18.399999999999999</v>
      </c>
      <c r="W339" s="35">
        <v>6.7350000000000003</v>
      </c>
      <c r="X339" s="35">
        <v>113.7</v>
      </c>
      <c r="Y339" s="35" t="s">
        <v>88</v>
      </c>
    </row>
    <row r="340" spans="1:25" ht="16.5" x14ac:dyDescent="0.3">
      <c r="A340" s="35">
        <v>2023</v>
      </c>
      <c r="B340" s="35" t="s">
        <v>517</v>
      </c>
      <c r="C340" s="55">
        <v>5</v>
      </c>
      <c r="D340" s="33" t="s">
        <v>436</v>
      </c>
      <c r="E340" s="33" t="s">
        <v>437</v>
      </c>
      <c r="F340" s="33" t="s">
        <v>94</v>
      </c>
      <c r="G340" s="33" t="s">
        <v>183</v>
      </c>
      <c r="H340" s="33" t="s">
        <v>103</v>
      </c>
      <c r="I340" s="33" t="s">
        <v>438</v>
      </c>
      <c r="J340" s="33" t="s">
        <v>439</v>
      </c>
      <c r="K340" s="37">
        <v>44986</v>
      </c>
      <c r="L340" s="34" t="s">
        <v>130</v>
      </c>
      <c r="M340" s="34" t="s">
        <v>71</v>
      </c>
      <c r="N340" s="35">
        <v>22</v>
      </c>
      <c r="O340" s="35">
        <v>0.66</v>
      </c>
      <c r="P340" s="35">
        <v>0.24</v>
      </c>
      <c r="Q340" s="35">
        <v>0.1</v>
      </c>
      <c r="R340" s="35" t="s">
        <v>518</v>
      </c>
      <c r="S340" s="35">
        <v>45.3</v>
      </c>
      <c r="T340" s="35">
        <v>1.585</v>
      </c>
      <c r="U340" s="35">
        <v>22.15</v>
      </c>
      <c r="V340" s="35">
        <v>20.2</v>
      </c>
      <c r="W340" s="35">
        <v>6.6749999999999998</v>
      </c>
      <c r="X340" s="35">
        <v>165.2</v>
      </c>
      <c r="Y340" s="35" t="s">
        <v>88</v>
      </c>
    </row>
    <row r="341" spans="1:25" ht="16.5" x14ac:dyDescent="0.3">
      <c r="A341" s="35">
        <v>2022</v>
      </c>
      <c r="B341" s="35" t="s">
        <v>519</v>
      </c>
      <c r="C341" s="55">
        <v>4</v>
      </c>
      <c r="D341" s="33" t="s">
        <v>462</v>
      </c>
      <c r="E341" s="33" t="s">
        <v>463</v>
      </c>
      <c r="F341" s="33" t="s">
        <v>194</v>
      </c>
      <c r="G341" s="33" t="s">
        <v>218</v>
      </c>
      <c r="H341" s="33" t="s">
        <v>121</v>
      </c>
      <c r="I341" s="33" t="s">
        <v>464</v>
      </c>
      <c r="J341" s="33" t="s">
        <v>465</v>
      </c>
      <c r="K341" s="37">
        <v>44727</v>
      </c>
      <c r="L341" s="34" t="s">
        <v>76</v>
      </c>
      <c r="M341" s="34" t="s">
        <v>55</v>
      </c>
      <c r="N341" s="35">
        <v>74</v>
      </c>
      <c r="O341" s="35">
        <v>1.48</v>
      </c>
      <c r="P341" s="35">
        <v>1.21</v>
      </c>
      <c r="Q341" s="35">
        <v>0.59</v>
      </c>
      <c r="R341" s="35">
        <v>4.0999999999999996</v>
      </c>
      <c r="S341" s="35">
        <v>16.399999999999999</v>
      </c>
      <c r="T341" s="35">
        <v>5.2050000000000001</v>
      </c>
      <c r="U341" s="35">
        <v>72.599999999999994</v>
      </c>
      <c r="V341" s="35">
        <v>18.8</v>
      </c>
      <c r="W341" s="35">
        <v>6.915</v>
      </c>
      <c r="X341" s="35">
        <v>158.4</v>
      </c>
      <c r="Y341" s="35" t="s">
        <v>88</v>
      </c>
    </row>
    <row r="342" spans="1:25" ht="16.5" x14ac:dyDescent="0.3">
      <c r="A342" s="35">
        <v>2022</v>
      </c>
      <c r="B342" s="35" t="s">
        <v>520</v>
      </c>
      <c r="C342" s="55">
        <v>4</v>
      </c>
      <c r="D342" s="33" t="s">
        <v>462</v>
      </c>
      <c r="E342" s="33" t="s">
        <v>463</v>
      </c>
      <c r="F342" s="33" t="s">
        <v>194</v>
      </c>
      <c r="G342" s="33" t="s">
        <v>218</v>
      </c>
      <c r="H342" s="33" t="s">
        <v>121</v>
      </c>
      <c r="I342" s="33" t="s">
        <v>464</v>
      </c>
      <c r="J342" s="33" t="s">
        <v>465</v>
      </c>
      <c r="K342" s="37">
        <v>44894</v>
      </c>
      <c r="L342" s="34" t="s">
        <v>57</v>
      </c>
      <c r="M342" s="34" t="s">
        <v>55</v>
      </c>
      <c r="N342" s="35">
        <v>87</v>
      </c>
      <c r="O342" s="35">
        <v>1.25</v>
      </c>
      <c r="P342" s="35">
        <v>0.89</v>
      </c>
      <c r="Q342" s="35">
        <v>0.46</v>
      </c>
      <c r="R342" s="35">
        <v>10.6</v>
      </c>
      <c r="S342" s="35">
        <v>27.5</v>
      </c>
      <c r="T342" s="35">
        <v>6.07</v>
      </c>
      <c r="U342" s="35">
        <v>82.25</v>
      </c>
      <c r="V342" s="35">
        <v>18.100000000000001</v>
      </c>
      <c r="W342" s="35">
        <v>6.8150000000000004</v>
      </c>
      <c r="X342" s="35">
        <v>131</v>
      </c>
      <c r="Y342" s="35" t="s">
        <v>88</v>
      </c>
    </row>
    <row r="343" spans="1:25" ht="16.5" x14ac:dyDescent="0.3">
      <c r="A343" s="35">
        <v>2023</v>
      </c>
      <c r="B343" s="35" t="s">
        <v>521</v>
      </c>
      <c r="C343" s="55">
        <v>4</v>
      </c>
      <c r="D343" s="33" t="s">
        <v>462</v>
      </c>
      <c r="E343" s="33" t="s">
        <v>463</v>
      </c>
      <c r="F343" s="33" t="s">
        <v>194</v>
      </c>
      <c r="G343" s="33" t="s">
        <v>218</v>
      </c>
      <c r="H343" s="33" t="s">
        <v>121</v>
      </c>
      <c r="I343" s="33" t="s">
        <v>464</v>
      </c>
      <c r="J343" s="33" t="s">
        <v>465</v>
      </c>
      <c r="K343" s="37">
        <v>44986</v>
      </c>
      <c r="L343" s="34" t="s">
        <v>130</v>
      </c>
      <c r="M343" s="34" t="s">
        <v>71</v>
      </c>
      <c r="N343" s="35">
        <v>17</v>
      </c>
      <c r="O343" s="35">
        <v>2.52</v>
      </c>
      <c r="P343" s="35">
        <v>2.2000000000000002</v>
      </c>
      <c r="Q343" s="35">
        <v>1.76</v>
      </c>
      <c r="R343" s="35" t="s">
        <v>522</v>
      </c>
      <c r="S343" s="35">
        <v>35.1</v>
      </c>
      <c r="T343" s="35">
        <v>3.85</v>
      </c>
      <c r="U343" s="35">
        <v>55.8</v>
      </c>
      <c r="V343" s="35">
        <v>21.3</v>
      </c>
      <c r="W343" s="35">
        <v>7.13</v>
      </c>
      <c r="X343" s="35">
        <v>261</v>
      </c>
      <c r="Y343" s="35" t="s">
        <v>88</v>
      </c>
    </row>
    <row r="344" spans="1:25" ht="16.5" x14ac:dyDescent="0.3">
      <c r="A344" s="35">
        <v>2023</v>
      </c>
      <c r="B344" s="35" t="s">
        <v>523</v>
      </c>
      <c r="C344" s="55">
        <v>4</v>
      </c>
      <c r="D344" s="33" t="s">
        <v>462</v>
      </c>
      <c r="E344" s="33" t="s">
        <v>463</v>
      </c>
      <c r="F344" s="33" t="s">
        <v>194</v>
      </c>
      <c r="G344" s="33" t="s">
        <v>218</v>
      </c>
      <c r="H344" s="33" t="s">
        <v>121</v>
      </c>
      <c r="I344" s="33" t="s">
        <v>464</v>
      </c>
      <c r="J344" s="33" t="s">
        <v>465</v>
      </c>
      <c r="K344" s="37">
        <v>45062</v>
      </c>
      <c r="L344" s="34" t="s">
        <v>85</v>
      </c>
      <c r="M344" s="34" t="s">
        <v>55</v>
      </c>
      <c r="N344" s="35">
        <v>37</v>
      </c>
      <c r="O344" s="35">
        <v>2.1800000000000002</v>
      </c>
      <c r="P344" s="35">
        <v>1.54</v>
      </c>
      <c r="Q344" s="35">
        <v>0.68</v>
      </c>
      <c r="R344" s="35">
        <v>4.4000000000000004</v>
      </c>
      <c r="S344" s="35">
        <v>10</v>
      </c>
      <c r="T344" s="35">
        <v>4.42</v>
      </c>
      <c r="U344" s="35">
        <v>64.5</v>
      </c>
      <c r="V344" s="35">
        <v>21.8</v>
      </c>
      <c r="W344" s="35">
        <v>7.1950000000000003</v>
      </c>
      <c r="X344" s="35">
        <v>303.5</v>
      </c>
      <c r="Y344" s="35" t="s">
        <v>88</v>
      </c>
    </row>
    <row r="345" spans="1:25" ht="16.5" x14ac:dyDescent="0.3">
      <c r="A345" s="35">
        <v>2019</v>
      </c>
      <c r="B345" s="35" t="s">
        <v>524</v>
      </c>
      <c r="C345" s="55">
        <v>12</v>
      </c>
      <c r="D345" s="33" t="s">
        <v>499</v>
      </c>
      <c r="E345" s="33" t="s">
        <v>500</v>
      </c>
      <c r="F345" s="33" t="s">
        <v>194</v>
      </c>
      <c r="G345" s="33" t="s">
        <v>501</v>
      </c>
      <c r="H345" s="33" t="s">
        <v>51</v>
      </c>
      <c r="I345" s="33" t="s">
        <v>502</v>
      </c>
      <c r="J345" s="33" t="s">
        <v>503</v>
      </c>
      <c r="K345" s="37">
        <v>43794</v>
      </c>
      <c r="L345" s="34" t="s">
        <v>57</v>
      </c>
      <c r="M345" s="34" t="s">
        <v>55</v>
      </c>
      <c r="N345" s="35">
        <v>170</v>
      </c>
      <c r="O345" s="35">
        <v>0.4</v>
      </c>
      <c r="P345" s="35">
        <v>0.1</v>
      </c>
      <c r="Q345" s="35">
        <v>0.1</v>
      </c>
      <c r="R345" s="35">
        <v>3.6</v>
      </c>
      <c r="S345" s="35">
        <v>10</v>
      </c>
      <c r="T345" s="35">
        <v>7.08</v>
      </c>
      <c r="U345" s="35">
        <v>97.5</v>
      </c>
      <c r="V345" s="35">
        <v>18.899999999999999</v>
      </c>
      <c r="W345" s="35">
        <v>7.26</v>
      </c>
      <c r="X345" s="35">
        <v>77.900000000000006</v>
      </c>
      <c r="Y345" s="35">
        <v>1487.24</v>
      </c>
    </row>
    <row r="346" spans="1:25" ht="16.5" x14ac:dyDescent="0.3">
      <c r="A346" s="35">
        <v>2020</v>
      </c>
      <c r="B346" s="35" t="s">
        <v>525</v>
      </c>
      <c r="C346" s="55">
        <v>12</v>
      </c>
      <c r="D346" s="33" t="s">
        <v>499</v>
      </c>
      <c r="E346" s="33" t="s">
        <v>500</v>
      </c>
      <c r="F346" s="33" t="s">
        <v>194</v>
      </c>
      <c r="G346" s="33" t="s">
        <v>501</v>
      </c>
      <c r="H346" s="33" t="s">
        <v>51</v>
      </c>
      <c r="I346" s="33" t="s">
        <v>502</v>
      </c>
      <c r="J346" s="33" t="s">
        <v>503</v>
      </c>
      <c r="K346" s="37">
        <v>43885</v>
      </c>
      <c r="L346" s="34" t="s">
        <v>70</v>
      </c>
      <c r="M346" s="34" t="s">
        <v>71</v>
      </c>
      <c r="N346" s="35">
        <v>193</v>
      </c>
      <c r="O346" s="35">
        <v>1.1000000000000001</v>
      </c>
      <c r="P346" s="35">
        <v>0.6</v>
      </c>
      <c r="Q346" s="35">
        <v>0.3</v>
      </c>
      <c r="R346" s="35">
        <v>4.5999999999999996</v>
      </c>
      <c r="S346" s="35">
        <v>30.2</v>
      </c>
      <c r="T346" s="35">
        <v>6.46</v>
      </c>
      <c r="U346" s="35">
        <v>88.3</v>
      </c>
      <c r="V346" s="35">
        <v>20.9</v>
      </c>
      <c r="W346" s="35">
        <v>7.36</v>
      </c>
      <c r="X346" s="35">
        <v>134.80000000000001</v>
      </c>
      <c r="Y346" s="35">
        <v>3399.92</v>
      </c>
    </row>
    <row r="347" spans="1:25" ht="16.5" x14ac:dyDescent="0.3">
      <c r="A347" s="35">
        <v>2021</v>
      </c>
      <c r="B347" s="35" t="s">
        <v>526</v>
      </c>
      <c r="C347" s="55">
        <v>12</v>
      </c>
      <c r="D347" s="33" t="s">
        <v>499</v>
      </c>
      <c r="E347" s="33" t="s">
        <v>500</v>
      </c>
      <c r="F347" s="33" t="s">
        <v>194</v>
      </c>
      <c r="G347" s="33" t="s">
        <v>501</v>
      </c>
      <c r="H347" s="33" t="s">
        <v>51</v>
      </c>
      <c r="I347" s="33" t="s">
        <v>502</v>
      </c>
      <c r="J347" s="33" t="s">
        <v>503</v>
      </c>
      <c r="K347" s="37">
        <v>44229</v>
      </c>
      <c r="L347" s="34" t="s">
        <v>70</v>
      </c>
      <c r="M347" s="34" t="s">
        <v>71</v>
      </c>
      <c r="N347" s="35">
        <v>260</v>
      </c>
      <c r="O347" s="35">
        <v>0.98</v>
      </c>
      <c r="P347" s="35">
        <v>0.57999999999999996</v>
      </c>
      <c r="Q347" s="35">
        <v>0.26</v>
      </c>
      <c r="R347" s="35">
        <v>6.4</v>
      </c>
      <c r="S347" s="35">
        <v>15.9</v>
      </c>
      <c r="T347" s="35">
        <v>6.87</v>
      </c>
      <c r="U347" s="35">
        <v>91.5</v>
      </c>
      <c r="V347" s="35">
        <v>17.100000000000001</v>
      </c>
      <c r="W347" s="35">
        <v>6.65</v>
      </c>
      <c r="X347" s="35">
        <v>45.8</v>
      </c>
      <c r="Y347" s="35" t="s">
        <v>88</v>
      </c>
    </row>
    <row r="348" spans="1:25" ht="16.5" x14ac:dyDescent="0.3">
      <c r="A348" s="35">
        <v>2021</v>
      </c>
      <c r="B348" s="35" t="s">
        <v>527</v>
      </c>
      <c r="C348" s="55">
        <v>12</v>
      </c>
      <c r="D348" s="33" t="s">
        <v>499</v>
      </c>
      <c r="E348" s="33" t="s">
        <v>500</v>
      </c>
      <c r="F348" s="33" t="s">
        <v>194</v>
      </c>
      <c r="G348" s="33" t="s">
        <v>501</v>
      </c>
      <c r="H348" s="33" t="s">
        <v>51</v>
      </c>
      <c r="I348" s="33" t="s">
        <v>502</v>
      </c>
      <c r="J348" s="33" t="s">
        <v>503</v>
      </c>
      <c r="K348" s="37">
        <v>44536</v>
      </c>
      <c r="L348" s="34" t="s">
        <v>201</v>
      </c>
      <c r="M348" s="34" t="s">
        <v>71</v>
      </c>
      <c r="N348" s="35">
        <v>283</v>
      </c>
      <c r="O348" s="35">
        <v>0.7</v>
      </c>
      <c r="P348" s="35">
        <v>0.4</v>
      </c>
      <c r="Q348" s="35">
        <v>0.2</v>
      </c>
      <c r="R348" s="35">
        <v>4.5</v>
      </c>
      <c r="S348" s="35">
        <v>14.3</v>
      </c>
      <c r="T348" s="35">
        <v>6.1</v>
      </c>
      <c r="U348" s="35">
        <v>66.2</v>
      </c>
      <c r="V348" s="35">
        <v>19.600000000000001</v>
      </c>
      <c r="W348" s="35">
        <v>6.82</v>
      </c>
      <c r="X348" s="35">
        <v>45.8</v>
      </c>
      <c r="Y348" s="35" t="s">
        <v>88</v>
      </c>
    </row>
    <row r="349" spans="1:25" ht="16.5" x14ac:dyDescent="0.3">
      <c r="A349" s="35">
        <v>2022</v>
      </c>
      <c r="B349" s="35" t="s">
        <v>528</v>
      </c>
      <c r="C349" s="55">
        <v>12</v>
      </c>
      <c r="D349" s="33" t="s">
        <v>499</v>
      </c>
      <c r="E349" s="33" t="s">
        <v>500</v>
      </c>
      <c r="F349" s="33" t="s">
        <v>194</v>
      </c>
      <c r="G349" s="33" t="s">
        <v>501</v>
      </c>
      <c r="H349" s="33" t="s">
        <v>51</v>
      </c>
      <c r="I349" s="33" t="s">
        <v>502</v>
      </c>
      <c r="J349" s="33" t="s">
        <v>503</v>
      </c>
      <c r="K349" s="37">
        <v>44615</v>
      </c>
      <c r="L349" s="34" t="s">
        <v>70</v>
      </c>
      <c r="M349" s="34" t="s">
        <v>71</v>
      </c>
      <c r="N349" s="35">
        <v>140</v>
      </c>
      <c r="O349" s="35">
        <v>0.9</v>
      </c>
      <c r="P349" s="35">
        <v>0.4</v>
      </c>
      <c r="Q349" s="35">
        <v>0.2</v>
      </c>
      <c r="R349" s="35">
        <v>10.6</v>
      </c>
      <c r="S349" s="35">
        <v>49.9</v>
      </c>
      <c r="T349" s="35">
        <v>6.3049999999999997</v>
      </c>
      <c r="U349" s="35">
        <v>85.55</v>
      </c>
      <c r="V349" s="35">
        <v>18.2</v>
      </c>
      <c r="W349" s="35">
        <v>6.87</v>
      </c>
      <c r="X349" s="35">
        <v>95.15</v>
      </c>
      <c r="Y349" s="35">
        <v>1532</v>
      </c>
    </row>
    <row r="350" spans="1:25" ht="16.5" x14ac:dyDescent="0.3">
      <c r="A350" s="35">
        <v>2022</v>
      </c>
      <c r="B350" s="35" t="s">
        <v>529</v>
      </c>
      <c r="C350" s="55">
        <v>12</v>
      </c>
      <c r="D350" s="33" t="s">
        <v>499</v>
      </c>
      <c r="E350" s="33" t="s">
        <v>500</v>
      </c>
      <c r="F350" s="33" t="s">
        <v>194</v>
      </c>
      <c r="G350" s="33" t="s">
        <v>501</v>
      </c>
      <c r="H350" s="33" t="s">
        <v>51</v>
      </c>
      <c r="I350" s="33" t="s">
        <v>502</v>
      </c>
      <c r="J350" s="33" t="s">
        <v>503</v>
      </c>
      <c r="K350" s="37">
        <v>44720</v>
      </c>
      <c r="L350" s="34" t="s">
        <v>76</v>
      </c>
      <c r="M350" s="34" t="s">
        <v>55</v>
      </c>
      <c r="N350" s="35">
        <v>150</v>
      </c>
      <c r="O350" s="35">
        <v>0.8</v>
      </c>
      <c r="P350" s="35">
        <v>0.3</v>
      </c>
      <c r="Q350" s="35">
        <v>0.3</v>
      </c>
      <c r="R350" s="35">
        <v>8.3000000000000007</v>
      </c>
      <c r="S350" s="35">
        <v>22.8</v>
      </c>
      <c r="T350" s="35">
        <v>6.38</v>
      </c>
      <c r="U350" s="35">
        <v>84.45</v>
      </c>
      <c r="V350" s="35">
        <v>17.100000000000001</v>
      </c>
      <c r="W350" s="35">
        <v>6.85</v>
      </c>
      <c r="X350" s="35">
        <v>81.25</v>
      </c>
      <c r="Y350" s="35">
        <v>8599.4</v>
      </c>
    </row>
    <row r="351" spans="1:25" ht="16.5" x14ac:dyDescent="0.3">
      <c r="A351" s="35">
        <v>2022</v>
      </c>
      <c r="B351" s="35" t="s">
        <v>530</v>
      </c>
      <c r="C351" s="55">
        <v>12</v>
      </c>
      <c r="D351" s="33" t="s">
        <v>499</v>
      </c>
      <c r="E351" s="33" t="s">
        <v>500</v>
      </c>
      <c r="F351" s="33" t="s">
        <v>194</v>
      </c>
      <c r="G351" s="33" t="s">
        <v>501</v>
      </c>
      <c r="H351" s="33" t="s">
        <v>51</v>
      </c>
      <c r="I351" s="33" t="s">
        <v>502</v>
      </c>
      <c r="J351" s="33" t="s">
        <v>503</v>
      </c>
      <c r="K351" s="37">
        <v>44888</v>
      </c>
      <c r="L351" s="34" t="s">
        <v>57</v>
      </c>
      <c r="M351" s="34" t="s">
        <v>55</v>
      </c>
      <c r="N351" s="35">
        <v>160</v>
      </c>
      <c r="O351" s="35">
        <v>0.84</v>
      </c>
      <c r="P351" s="35">
        <v>0.38</v>
      </c>
      <c r="Q351" s="35">
        <v>0.22</v>
      </c>
      <c r="R351" s="35">
        <v>11.9</v>
      </c>
      <c r="S351" s="35">
        <v>40.299999999999997</v>
      </c>
      <c r="T351" s="35">
        <v>6.2329999999999997</v>
      </c>
      <c r="U351" s="35">
        <v>84.5</v>
      </c>
      <c r="V351" s="35">
        <v>17.899999999999999</v>
      </c>
      <c r="W351" s="35">
        <v>6.7850000000000001</v>
      </c>
      <c r="X351" s="35">
        <v>71.599999999999994</v>
      </c>
      <c r="Y351" s="35" t="s">
        <v>88</v>
      </c>
    </row>
    <row r="352" spans="1:25" ht="16.5" x14ac:dyDescent="0.3">
      <c r="A352" s="35">
        <v>2023</v>
      </c>
      <c r="B352" s="35" t="s">
        <v>531</v>
      </c>
      <c r="C352" s="55">
        <v>12</v>
      </c>
      <c r="D352" s="33" t="s">
        <v>499</v>
      </c>
      <c r="E352" s="33" t="s">
        <v>500</v>
      </c>
      <c r="F352" s="33" t="s">
        <v>194</v>
      </c>
      <c r="G352" s="33" t="s">
        <v>501</v>
      </c>
      <c r="H352" s="33" t="s">
        <v>51</v>
      </c>
      <c r="I352" s="33" t="s">
        <v>502</v>
      </c>
      <c r="J352" s="33" t="s">
        <v>503</v>
      </c>
      <c r="K352" s="37">
        <v>44986</v>
      </c>
      <c r="L352" s="34" t="s">
        <v>130</v>
      </c>
      <c r="M352" s="34" t="s">
        <v>71</v>
      </c>
      <c r="N352" s="35">
        <v>110</v>
      </c>
      <c r="O352" s="35">
        <v>1</v>
      </c>
      <c r="P352" s="35">
        <v>0.5</v>
      </c>
      <c r="Q352" s="35">
        <v>0.32</v>
      </c>
      <c r="R352" s="35" t="s">
        <v>532</v>
      </c>
      <c r="S352" s="35">
        <v>43.1</v>
      </c>
      <c r="T352" s="35">
        <v>5.78</v>
      </c>
      <c r="U352" s="35">
        <v>81.25</v>
      </c>
      <c r="V352" s="35">
        <v>19.8</v>
      </c>
      <c r="W352" s="35">
        <v>6.835</v>
      </c>
      <c r="X352" s="35">
        <v>61.9</v>
      </c>
      <c r="Y352" s="35" t="s">
        <v>88</v>
      </c>
    </row>
    <row r="353" spans="1:25" ht="16.5" x14ac:dyDescent="0.3">
      <c r="A353" s="35">
        <v>2023</v>
      </c>
      <c r="B353" s="35" t="s">
        <v>533</v>
      </c>
      <c r="C353" s="55">
        <v>4</v>
      </c>
      <c r="D353" s="33" t="s">
        <v>454</v>
      </c>
      <c r="E353" s="33" t="s">
        <v>455</v>
      </c>
      <c r="F353" s="33" t="s">
        <v>194</v>
      </c>
      <c r="G353" s="33" t="s">
        <v>64</v>
      </c>
      <c r="H353" s="33" t="s">
        <v>65</v>
      </c>
      <c r="I353" s="33" t="s">
        <v>456</v>
      </c>
      <c r="J353" s="33" t="s">
        <v>457</v>
      </c>
      <c r="K353" s="37">
        <v>45252</v>
      </c>
      <c r="L353" s="34" t="s">
        <v>57</v>
      </c>
      <c r="M353" s="34" t="s">
        <v>55</v>
      </c>
      <c r="N353" s="35">
        <v>48</v>
      </c>
      <c r="O353" s="35">
        <v>0.24</v>
      </c>
      <c r="P353" s="35">
        <v>0.16</v>
      </c>
      <c r="Q353" s="35">
        <v>0.1</v>
      </c>
      <c r="R353" s="35">
        <v>9.6999999999999993</v>
      </c>
      <c r="S353" s="35">
        <v>48.4</v>
      </c>
      <c r="T353" s="35">
        <v>2.7549999999999999</v>
      </c>
      <c r="U353" s="35">
        <v>39.65</v>
      </c>
      <c r="V353" s="35">
        <v>20.2</v>
      </c>
      <c r="W353" s="35">
        <v>6.77</v>
      </c>
      <c r="X353" s="35">
        <v>135.80000000000001</v>
      </c>
      <c r="Y353" s="35" t="s">
        <v>88</v>
      </c>
    </row>
    <row r="354" spans="1:25" ht="16.5" x14ac:dyDescent="0.3">
      <c r="A354" s="1">
        <v>2024</v>
      </c>
      <c r="B354" s="1" t="s">
        <v>534</v>
      </c>
      <c r="C354" s="1">
        <v>4</v>
      </c>
      <c r="D354" t="s">
        <v>454</v>
      </c>
      <c r="E354" t="s">
        <v>455</v>
      </c>
      <c r="F354" t="s">
        <v>194</v>
      </c>
      <c r="G354" t="s">
        <v>64</v>
      </c>
      <c r="H354" t="s">
        <v>65</v>
      </c>
      <c r="I354" t="s">
        <v>456</v>
      </c>
      <c r="J354" t="s">
        <v>457</v>
      </c>
      <c r="K354" s="41">
        <v>45349</v>
      </c>
      <c r="L354" s="34" t="s">
        <v>70</v>
      </c>
      <c r="M354" t="s">
        <v>71</v>
      </c>
      <c r="N354"/>
      <c r="O354">
        <v>1.96</v>
      </c>
      <c r="P354">
        <v>1.1200000000000001</v>
      </c>
      <c r="Q354">
        <v>0.78</v>
      </c>
      <c r="R354">
        <v>24.4</v>
      </c>
      <c r="S354">
        <v>71.400000000000006</v>
      </c>
      <c r="T354">
        <v>1.35</v>
      </c>
      <c r="U354">
        <v>20.399999999999999</v>
      </c>
      <c r="V354">
        <v>23.1</v>
      </c>
      <c r="W354">
        <v>7.1950000000000003</v>
      </c>
      <c r="X354">
        <v>232</v>
      </c>
      <c r="Y354" s="1" t="s">
        <v>88</v>
      </c>
    </row>
    <row r="355" spans="1:25" ht="16.5" x14ac:dyDescent="0.3">
      <c r="A355" s="1">
        <v>2024</v>
      </c>
      <c r="B355" s="1" t="s">
        <v>535</v>
      </c>
      <c r="C355" s="1">
        <v>4</v>
      </c>
      <c r="D355" t="s">
        <v>454</v>
      </c>
      <c r="E355" t="s">
        <v>455</v>
      </c>
      <c r="F355" t="s">
        <v>194</v>
      </c>
      <c r="G355" t="s">
        <v>64</v>
      </c>
      <c r="H355" t="s">
        <v>65</v>
      </c>
      <c r="I355" t="s">
        <v>456</v>
      </c>
      <c r="J355" t="s">
        <v>457</v>
      </c>
      <c r="K355" s="41">
        <v>45461</v>
      </c>
      <c r="L355" s="34" t="s">
        <v>76</v>
      </c>
      <c r="M355" s="34" t="s">
        <v>55</v>
      </c>
      <c r="N355"/>
      <c r="O355">
        <v>1</v>
      </c>
      <c r="P355">
        <v>0.5</v>
      </c>
      <c r="Q355">
        <v>0.3</v>
      </c>
      <c r="R355">
        <v>7.7</v>
      </c>
      <c r="S355">
        <v>41.1</v>
      </c>
      <c r="T355">
        <v>4.0950000000000006</v>
      </c>
      <c r="U355">
        <v>57.599999999999994</v>
      </c>
      <c r="V355">
        <v>22</v>
      </c>
      <c r="W355">
        <v>7.25</v>
      </c>
      <c r="X355">
        <v>147.69999999999999</v>
      </c>
      <c r="Y355" s="1" t="s">
        <v>88</v>
      </c>
    </row>
    <row r="356" spans="1:25" ht="16.5" x14ac:dyDescent="0.3">
      <c r="A356" s="1">
        <v>2024</v>
      </c>
      <c r="B356" s="1" t="s">
        <v>536</v>
      </c>
      <c r="C356" s="1">
        <v>4</v>
      </c>
      <c r="D356" t="s">
        <v>454</v>
      </c>
      <c r="E356" t="s">
        <v>455</v>
      </c>
      <c r="F356" t="s">
        <v>194</v>
      </c>
      <c r="G356" t="s">
        <v>64</v>
      </c>
      <c r="H356" t="s">
        <v>65</v>
      </c>
      <c r="I356" t="s">
        <v>456</v>
      </c>
      <c r="J356" t="s">
        <v>457</v>
      </c>
      <c r="K356" s="41">
        <v>45622</v>
      </c>
      <c r="L356" s="34" t="s">
        <v>57</v>
      </c>
      <c r="M356" t="s">
        <v>55</v>
      </c>
      <c r="N356"/>
      <c r="O356">
        <v>2.2400000000000002</v>
      </c>
      <c r="P356">
        <v>1.5</v>
      </c>
      <c r="Q356">
        <v>1.34</v>
      </c>
      <c r="R356">
        <v>8.6999999999999993</v>
      </c>
      <c r="S356">
        <v>19</v>
      </c>
      <c r="T356">
        <v>2.58</v>
      </c>
      <c r="U356">
        <v>36.200000000000003</v>
      </c>
      <c r="V356">
        <v>19.899999999999999</v>
      </c>
      <c r="W356">
        <v>6.78</v>
      </c>
      <c r="X356">
        <v>147.64999999999998</v>
      </c>
      <c r="Y356" s="1" t="s">
        <v>88</v>
      </c>
    </row>
    <row r="357" spans="1:25" ht="16.5" x14ac:dyDescent="0.3">
      <c r="A357" s="35">
        <v>2023</v>
      </c>
      <c r="B357" s="35" t="s">
        <v>537</v>
      </c>
      <c r="C357" s="55">
        <v>12</v>
      </c>
      <c r="D357" s="33" t="s">
        <v>499</v>
      </c>
      <c r="E357" s="33" t="s">
        <v>500</v>
      </c>
      <c r="F357" s="33" t="s">
        <v>194</v>
      </c>
      <c r="G357" s="33" t="s">
        <v>501</v>
      </c>
      <c r="H357" s="33" t="s">
        <v>51</v>
      </c>
      <c r="I357" s="33" t="s">
        <v>502</v>
      </c>
      <c r="J357" s="33" t="s">
        <v>503</v>
      </c>
      <c r="K357" s="37">
        <v>45056</v>
      </c>
      <c r="L357" s="34" t="s">
        <v>85</v>
      </c>
      <c r="M357" s="34" t="s">
        <v>55</v>
      </c>
      <c r="N357" s="35">
        <v>120</v>
      </c>
      <c r="O357" s="35">
        <v>0.72</v>
      </c>
      <c r="P357" s="35">
        <v>0.36</v>
      </c>
      <c r="Q357" s="35">
        <v>0.24</v>
      </c>
      <c r="R357" s="35">
        <v>3.1</v>
      </c>
      <c r="S357" s="35">
        <v>9.9</v>
      </c>
      <c r="T357" s="35">
        <v>5.2949999999999999</v>
      </c>
      <c r="U357" s="35">
        <v>80.95</v>
      </c>
      <c r="V357" s="35">
        <v>22.9</v>
      </c>
      <c r="W357" s="35">
        <v>7.05</v>
      </c>
      <c r="X357" s="35">
        <v>153</v>
      </c>
      <c r="Y357" s="35" t="s">
        <v>88</v>
      </c>
    </row>
    <row r="358" spans="1:25" ht="16.5" x14ac:dyDescent="0.3">
      <c r="A358" s="35">
        <v>2023</v>
      </c>
      <c r="B358" s="35" t="s">
        <v>538</v>
      </c>
      <c r="C358" s="55">
        <v>12</v>
      </c>
      <c r="D358" s="33" t="s">
        <v>499</v>
      </c>
      <c r="E358" s="33" t="s">
        <v>500</v>
      </c>
      <c r="F358" s="33" t="s">
        <v>194</v>
      </c>
      <c r="G358" s="33" t="s">
        <v>501</v>
      </c>
      <c r="H358" s="33" t="s">
        <v>51</v>
      </c>
      <c r="I358" s="33" t="s">
        <v>502</v>
      </c>
      <c r="J358" s="33" t="s">
        <v>503</v>
      </c>
      <c r="K358" s="37">
        <v>45251</v>
      </c>
      <c r="L358" s="34" t="s">
        <v>57</v>
      </c>
      <c r="M358" s="34" t="s">
        <v>55</v>
      </c>
      <c r="N358" s="35">
        <v>122</v>
      </c>
      <c r="O358" s="35">
        <v>0.25</v>
      </c>
      <c r="P358" s="35">
        <v>0.08</v>
      </c>
      <c r="Q358" s="35">
        <v>0.06</v>
      </c>
      <c r="R358" s="35">
        <v>5.4</v>
      </c>
      <c r="S358" s="35">
        <v>38.299999999999997</v>
      </c>
      <c r="T358" s="35">
        <v>6.0250000000000004</v>
      </c>
      <c r="U358" s="35">
        <v>80.8</v>
      </c>
      <c r="V358" s="35">
        <v>17.399999999999999</v>
      </c>
      <c r="W358" s="35">
        <v>6.8550000000000004</v>
      </c>
      <c r="X358" s="35">
        <v>87.9</v>
      </c>
      <c r="Y358" s="35" t="s">
        <v>88</v>
      </c>
    </row>
    <row r="359" spans="1:25" ht="16.5" x14ac:dyDescent="0.3">
      <c r="A359" s="35">
        <v>2023</v>
      </c>
      <c r="B359" s="35" t="s">
        <v>539</v>
      </c>
      <c r="C359" s="55">
        <v>5</v>
      </c>
      <c r="D359" s="33" t="s">
        <v>436</v>
      </c>
      <c r="E359" s="33" t="s">
        <v>437</v>
      </c>
      <c r="F359" s="33" t="s">
        <v>94</v>
      </c>
      <c r="G359" s="33" t="s">
        <v>183</v>
      </c>
      <c r="H359" s="33" t="s">
        <v>103</v>
      </c>
      <c r="I359" s="33" t="s">
        <v>438</v>
      </c>
      <c r="J359" s="33" t="s">
        <v>439</v>
      </c>
      <c r="K359" s="37">
        <v>45056</v>
      </c>
      <c r="L359" s="34" t="s">
        <v>85</v>
      </c>
      <c r="M359" s="34" t="s">
        <v>55</v>
      </c>
      <c r="N359" s="35">
        <v>35</v>
      </c>
      <c r="O359" s="35">
        <v>0.66</v>
      </c>
      <c r="P359" s="35">
        <v>0.38</v>
      </c>
      <c r="Q359" s="35">
        <v>0.4</v>
      </c>
      <c r="R359" s="35">
        <v>3.2</v>
      </c>
      <c r="S359" s="35">
        <v>15.8</v>
      </c>
      <c r="T359" s="35">
        <v>4.4800000000000004</v>
      </c>
      <c r="U359" s="35">
        <v>64.599999999999994</v>
      </c>
      <c r="V359" s="35">
        <v>21</v>
      </c>
      <c r="W359" s="35">
        <v>6.84</v>
      </c>
      <c r="X359" s="35">
        <v>138.15</v>
      </c>
      <c r="Y359" s="35" t="s">
        <v>88</v>
      </c>
    </row>
    <row r="360" spans="1:25" ht="16.5" x14ac:dyDescent="0.3">
      <c r="A360" s="35">
        <v>2023</v>
      </c>
      <c r="B360" s="35" t="s">
        <v>540</v>
      </c>
      <c r="C360" s="55">
        <v>5</v>
      </c>
      <c r="D360" s="33" t="s">
        <v>436</v>
      </c>
      <c r="E360" s="33" t="s">
        <v>437</v>
      </c>
      <c r="F360" s="33" t="s">
        <v>94</v>
      </c>
      <c r="G360" s="33" t="s">
        <v>183</v>
      </c>
      <c r="H360" s="33" t="s">
        <v>103</v>
      </c>
      <c r="I360" s="33" t="s">
        <v>438</v>
      </c>
      <c r="J360" s="33" t="s">
        <v>439</v>
      </c>
      <c r="K360" s="37">
        <v>45251</v>
      </c>
      <c r="L360" s="34" t="s">
        <v>57</v>
      </c>
      <c r="M360" s="34" t="s">
        <v>55</v>
      </c>
      <c r="N360" s="35">
        <v>44</v>
      </c>
      <c r="O360" s="35">
        <v>0.18</v>
      </c>
      <c r="P360" s="35">
        <v>0.06</v>
      </c>
      <c r="Q360" s="35">
        <v>0.02</v>
      </c>
      <c r="R360" s="35">
        <v>5.3</v>
      </c>
      <c r="S360" s="35">
        <v>13.1</v>
      </c>
      <c r="T360" s="35">
        <v>5.1150000000000002</v>
      </c>
      <c r="U360" s="35">
        <v>72.5</v>
      </c>
      <c r="V360" s="35">
        <v>19.8</v>
      </c>
      <c r="W360" s="35">
        <v>6.9950000000000001</v>
      </c>
      <c r="X360" s="35">
        <v>88.05</v>
      </c>
      <c r="Y360" s="35" t="s">
        <v>88</v>
      </c>
    </row>
    <row r="361" spans="1:25" ht="16.5" x14ac:dyDescent="0.3">
      <c r="A361" s="1">
        <v>2024</v>
      </c>
      <c r="B361" s="1" t="s">
        <v>541</v>
      </c>
      <c r="C361" s="1">
        <v>5</v>
      </c>
      <c r="D361" t="s">
        <v>436</v>
      </c>
      <c r="E361" t="s">
        <v>437</v>
      </c>
      <c r="F361" t="s">
        <v>94</v>
      </c>
      <c r="G361" t="s">
        <v>183</v>
      </c>
      <c r="H361" t="s">
        <v>103</v>
      </c>
      <c r="I361" t="s">
        <v>438</v>
      </c>
      <c r="J361" t="s">
        <v>439</v>
      </c>
      <c r="K361" s="41">
        <v>45349</v>
      </c>
      <c r="L361" s="34" t="s">
        <v>70</v>
      </c>
      <c r="M361" s="1" t="s">
        <v>71</v>
      </c>
      <c r="O361" s="1">
        <v>2.98</v>
      </c>
      <c r="P361" s="1">
        <v>2</v>
      </c>
      <c r="Q361" s="1">
        <v>1.46</v>
      </c>
      <c r="R361" s="1">
        <v>44.3</v>
      </c>
      <c r="S361" s="1">
        <v>86.3</v>
      </c>
      <c r="T361" s="1">
        <v>1.67</v>
      </c>
      <c r="U361" s="1">
        <v>24.8</v>
      </c>
      <c r="V361" s="1">
        <v>22.2</v>
      </c>
      <c r="W361" s="1">
        <v>6.9399999999999995</v>
      </c>
      <c r="X361" s="1">
        <v>251.5</v>
      </c>
      <c r="Y361" s="1" t="s">
        <v>88</v>
      </c>
    </row>
    <row r="362" spans="1:25" ht="16.5" x14ac:dyDescent="0.3">
      <c r="A362" s="1">
        <v>2024</v>
      </c>
      <c r="B362" s="1" t="s">
        <v>542</v>
      </c>
      <c r="C362" s="1">
        <v>5</v>
      </c>
      <c r="D362" t="s">
        <v>436</v>
      </c>
      <c r="E362" t="s">
        <v>437</v>
      </c>
      <c r="F362" t="s">
        <v>94</v>
      </c>
      <c r="G362" t="s">
        <v>183</v>
      </c>
      <c r="H362" t="s">
        <v>103</v>
      </c>
      <c r="I362" t="s">
        <v>438</v>
      </c>
      <c r="J362" t="s">
        <v>439</v>
      </c>
      <c r="K362" s="41">
        <v>45461</v>
      </c>
      <c r="L362" s="34" t="s">
        <v>76</v>
      </c>
      <c r="M362" s="34" t="s">
        <v>55</v>
      </c>
      <c r="O362" s="1">
        <v>1.38</v>
      </c>
      <c r="P362" s="1">
        <v>0.92</v>
      </c>
      <c r="Q362" s="1">
        <v>0.68</v>
      </c>
      <c r="R362" s="1">
        <v>55.5</v>
      </c>
      <c r="S362" s="1">
        <v>117</v>
      </c>
      <c r="T362" s="1">
        <v>4.55</v>
      </c>
      <c r="U362" s="1">
        <v>64.150000000000006</v>
      </c>
      <c r="V362" s="1">
        <v>20.3</v>
      </c>
      <c r="W362" s="1">
        <v>6.99</v>
      </c>
      <c r="X362" s="1">
        <v>123.1</v>
      </c>
      <c r="Y362" s="1" t="s">
        <v>88</v>
      </c>
    </row>
    <row r="363" spans="1:25" ht="16.5" x14ac:dyDescent="0.3">
      <c r="A363" s="1">
        <v>2024</v>
      </c>
      <c r="B363" s="1" t="s">
        <v>543</v>
      </c>
      <c r="C363" s="1">
        <v>5</v>
      </c>
      <c r="D363" t="s">
        <v>436</v>
      </c>
      <c r="E363" t="s">
        <v>437</v>
      </c>
      <c r="F363" t="s">
        <v>94</v>
      </c>
      <c r="G363" t="s">
        <v>183</v>
      </c>
      <c r="H363" t="s">
        <v>103</v>
      </c>
      <c r="I363" t="s">
        <v>438</v>
      </c>
      <c r="J363" t="s">
        <v>439</v>
      </c>
      <c r="K363" s="41">
        <v>45622</v>
      </c>
      <c r="L363" s="34" t="s">
        <v>57</v>
      </c>
      <c r="M363" s="1" t="s">
        <v>55</v>
      </c>
      <c r="O363" s="1">
        <v>1.62</v>
      </c>
      <c r="P363" s="1">
        <v>0.72</v>
      </c>
      <c r="Q363" s="1">
        <v>0.3</v>
      </c>
      <c r="R363" s="1">
        <v>3.3</v>
      </c>
      <c r="S363" s="1">
        <v>33.75</v>
      </c>
      <c r="T363" s="1">
        <v>4.67</v>
      </c>
      <c r="U363" s="1">
        <v>66.75</v>
      </c>
      <c r="V363" s="1">
        <v>21.1</v>
      </c>
      <c r="W363" s="1">
        <v>7</v>
      </c>
      <c r="X363" s="1">
        <v>121.80000000000001</v>
      </c>
      <c r="Y363" s="1" t="s">
        <v>88</v>
      </c>
    </row>
    <row r="364" spans="1:25" ht="16.5" x14ac:dyDescent="0.3">
      <c r="A364" s="35">
        <v>2023</v>
      </c>
      <c r="B364" s="35" t="s">
        <v>544</v>
      </c>
      <c r="C364" s="55">
        <v>4</v>
      </c>
      <c r="D364" s="33" t="s">
        <v>462</v>
      </c>
      <c r="E364" s="33" t="s">
        <v>463</v>
      </c>
      <c r="F364" s="33" t="s">
        <v>194</v>
      </c>
      <c r="G364" s="33" t="s">
        <v>218</v>
      </c>
      <c r="H364" s="33" t="s">
        <v>121</v>
      </c>
      <c r="I364" s="33" t="s">
        <v>464</v>
      </c>
      <c r="J364" s="33" t="s">
        <v>465</v>
      </c>
      <c r="K364" s="37">
        <v>45258</v>
      </c>
      <c r="L364" s="34" t="s">
        <v>57</v>
      </c>
      <c r="M364" s="34" t="s">
        <v>55</v>
      </c>
      <c r="N364" s="35">
        <v>50</v>
      </c>
      <c r="O364" s="35">
        <v>1.06</v>
      </c>
      <c r="P364" s="35">
        <v>0.57999999999999996</v>
      </c>
      <c r="Q364" s="35">
        <v>0.36</v>
      </c>
      <c r="R364" s="35">
        <v>6.8</v>
      </c>
      <c r="S364" s="35">
        <v>21.9</v>
      </c>
      <c r="T364" s="35">
        <v>4.0750000000000002</v>
      </c>
      <c r="U364" s="35">
        <v>59.4</v>
      </c>
      <c r="V364" s="35">
        <v>22</v>
      </c>
      <c r="W364" s="35">
        <v>6.93</v>
      </c>
      <c r="X364" s="35">
        <v>222</v>
      </c>
      <c r="Y364" s="35" t="s">
        <v>88</v>
      </c>
    </row>
    <row r="365" spans="1:25" ht="16.5" x14ac:dyDescent="0.3">
      <c r="A365" s="1">
        <v>2024</v>
      </c>
      <c r="B365" s="1" t="s">
        <v>545</v>
      </c>
      <c r="C365" s="1">
        <v>4</v>
      </c>
      <c r="D365" t="s">
        <v>462</v>
      </c>
      <c r="E365" t="s">
        <v>463</v>
      </c>
      <c r="F365" t="s">
        <v>194</v>
      </c>
      <c r="G365" t="s">
        <v>218</v>
      </c>
      <c r="H365" t="s">
        <v>121</v>
      </c>
      <c r="I365" t="s">
        <v>464</v>
      </c>
      <c r="J365" t="s">
        <v>465</v>
      </c>
      <c r="K365" s="41">
        <v>45356</v>
      </c>
      <c r="L365" s="34" t="s">
        <v>130</v>
      </c>
      <c r="M365" t="s">
        <v>71</v>
      </c>
      <c r="N365"/>
      <c r="O365">
        <v>1.96</v>
      </c>
      <c r="P365">
        <v>1.1599999999999999</v>
      </c>
      <c r="Q365">
        <v>0.8</v>
      </c>
      <c r="R365">
        <v>4.7</v>
      </c>
      <c r="S365">
        <v>54.6</v>
      </c>
      <c r="T365">
        <v>4.2</v>
      </c>
      <c r="U365">
        <v>62.6</v>
      </c>
      <c r="V365">
        <v>23</v>
      </c>
      <c r="W365">
        <v>7.4</v>
      </c>
      <c r="X365">
        <v>537.5</v>
      </c>
      <c r="Y365" s="1" t="s">
        <v>88</v>
      </c>
    </row>
    <row r="366" spans="1:25" ht="16.5" x14ac:dyDescent="0.3">
      <c r="A366" s="1">
        <v>2024</v>
      </c>
      <c r="B366" s="1" t="s">
        <v>546</v>
      </c>
      <c r="C366" s="1">
        <v>4</v>
      </c>
      <c r="D366" t="s">
        <v>462</v>
      </c>
      <c r="E366" t="s">
        <v>463</v>
      </c>
      <c r="F366" t="s">
        <v>194</v>
      </c>
      <c r="G366" t="s">
        <v>218</v>
      </c>
      <c r="H366" t="s">
        <v>121</v>
      </c>
      <c r="I366" t="s">
        <v>464</v>
      </c>
      <c r="J366" t="s">
        <v>465</v>
      </c>
      <c r="K366" s="41">
        <v>45468</v>
      </c>
      <c r="L366" s="34" t="s">
        <v>76</v>
      </c>
      <c r="M366" s="34" t="s">
        <v>55</v>
      </c>
      <c r="N366"/>
      <c r="O366">
        <v>0.62</v>
      </c>
      <c r="P366">
        <v>0.24</v>
      </c>
      <c r="Q366">
        <v>0.12</v>
      </c>
      <c r="R366">
        <v>1.4</v>
      </c>
      <c r="S366">
        <v>32.74</v>
      </c>
      <c r="T366">
        <v>5.26</v>
      </c>
      <c r="U366">
        <v>74.449999999999989</v>
      </c>
      <c r="V366">
        <v>19.600000000000001</v>
      </c>
      <c r="W366">
        <v>7.48</v>
      </c>
      <c r="X366">
        <v>129.75</v>
      </c>
      <c r="Y366" s="1" t="s">
        <v>88</v>
      </c>
    </row>
    <row r="367" spans="1:25" ht="16.5" x14ac:dyDescent="0.3">
      <c r="A367" s="1">
        <v>2024</v>
      </c>
      <c r="B367" s="1" t="s">
        <v>547</v>
      </c>
      <c r="C367" s="1">
        <v>4</v>
      </c>
      <c r="D367" t="s">
        <v>462</v>
      </c>
      <c r="E367" t="s">
        <v>463</v>
      </c>
      <c r="F367" t="s">
        <v>194</v>
      </c>
      <c r="G367" t="s">
        <v>218</v>
      </c>
      <c r="H367" t="s">
        <v>121</v>
      </c>
      <c r="I367" t="s">
        <v>464</v>
      </c>
      <c r="J367" t="s">
        <v>465</v>
      </c>
      <c r="K367" s="41">
        <v>45629</v>
      </c>
      <c r="L367" s="34" t="s">
        <v>201</v>
      </c>
      <c r="M367" t="s">
        <v>55</v>
      </c>
      <c r="N367"/>
      <c r="O367">
        <v>0.98</v>
      </c>
      <c r="P367">
        <v>0.5</v>
      </c>
      <c r="Q367">
        <v>0.24</v>
      </c>
      <c r="R367">
        <v>2.6</v>
      </c>
      <c r="S367">
        <v>19.2</v>
      </c>
      <c r="T367">
        <v>4.3100000000000005</v>
      </c>
      <c r="U367">
        <v>60.75</v>
      </c>
      <c r="V367">
        <v>20.100000000000001</v>
      </c>
      <c r="W367">
        <v>7.0149999999999997</v>
      </c>
      <c r="X367">
        <v>230.5</v>
      </c>
      <c r="Y367" s="1" t="s">
        <v>88</v>
      </c>
    </row>
  </sheetData>
  <sheetProtection algorithmName="SHA-512" hashValue="MdiOgVQ+qmJuIw0wjLOSU5x9cgUFtCwLbSXXpb0E5p1CQ7igq62k4bV7jyhCW7Rpwk8g6V9tJLZvzFaGdtHu2Q==" saltValue="sQ15AnAgnH4jJFKGfSuQSw==" spinCount="100000" sheet="1" objects="1" scenarios="1" sort="0" autoFilter="0"/>
  <autoFilter ref="A1:Y367" xr:uid="{6DDB78CE-38A1-403C-85D3-805571EED353}">
    <sortState xmlns:xlrd2="http://schemas.microsoft.com/office/spreadsheetml/2017/richdata2" ref="A25:Y363">
      <sortCondition ref="C1:C367"/>
    </sortState>
  </autoFilter>
  <conditionalFormatting sqref="B1:B1048576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8223-4E73-422E-8CA3-67CFC3B96BF2}">
  <dimension ref="A1:K17"/>
  <sheetViews>
    <sheetView zoomScale="80" zoomScaleNormal="80" workbookViewId="0">
      <selection activeCell="C39" sqref="C39"/>
    </sheetView>
  </sheetViews>
  <sheetFormatPr baseColWidth="10" defaultColWidth="11.42578125" defaultRowHeight="15" x14ac:dyDescent="0.25"/>
  <cols>
    <col min="1" max="1" width="18.5703125" bestFit="1" customWidth="1"/>
    <col min="2" max="2" width="17.85546875" bestFit="1" customWidth="1"/>
    <col min="3" max="6" width="5.5703125" bestFit="1" customWidth="1"/>
    <col min="7" max="8" width="7.7109375" bestFit="1" customWidth="1"/>
    <col min="9" max="9" width="21.7109375" bestFit="1" customWidth="1"/>
    <col min="10" max="10" width="36.28515625" bestFit="1" customWidth="1"/>
    <col min="11" max="11" width="21.7109375" bestFit="1" customWidth="1"/>
    <col min="12" max="12" width="9.85546875" bestFit="1" customWidth="1"/>
    <col min="13" max="13" width="10.85546875" bestFit="1" customWidth="1"/>
  </cols>
  <sheetData>
    <row r="1" spans="1:11" x14ac:dyDescent="0.25">
      <c r="A1" s="6" t="s">
        <v>33</v>
      </c>
      <c r="B1" t="s">
        <v>71</v>
      </c>
    </row>
    <row r="2" spans="1:11" x14ac:dyDescent="0.25">
      <c r="A2" s="6" t="s">
        <v>28</v>
      </c>
      <c r="B2" t="s">
        <v>51</v>
      </c>
      <c r="I2" s="131"/>
      <c r="J2" s="131"/>
      <c r="K2" s="131"/>
    </row>
    <row r="3" spans="1:11" x14ac:dyDescent="0.25">
      <c r="B3" s="40"/>
      <c r="I3" s="131"/>
      <c r="J3" s="131"/>
      <c r="K3" s="131"/>
    </row>
    <row r="4" spans="1:11" ht="30" x14ac:dyDescent="0.25">
      <c r="A4" s="9" t="s">
        <v>548</v>
      </c>
      <c r="B4" s="9" t="s">
        <v>549</v>
      </c>
      <c r="I4" s="131"/>
      <c r="J4" s="131"/>
      <c r="K4" s="131"/>
    </row>
    <row r="5" spans="1:11" ht="30" x14ac:dyDescent="0.25">
      <c r="A5" s="6" t="s">
        <v>550</v>
      </c>
      <c r="B5" s="1">
        <v>2020</v>
      </c>
      <c r="C5" s="1">
        <v>2021</v>
      </c>
      <c r="D5" s="1">
        <v>2022</v>
      </c>
      <c r="E5" s="1">
        <v>2023</v>
      </c>
      <c r="F5" s="1">
        <v>2024</v>
      </c>
      <c r="G5" s="8" t="s">
        <v>551</v>
      </c>
      <c r="I5" s="131"/>
      <c r="J5" s="131"/>
      <c r="K5" s="131"/>
    </row>
    <row r="6" spans="1:11" x14ac:dyDescent="0.25">
      <c r="A6" s="7">
        <v>1</v>
      </c>
      <c r="B6" s="10">
        <v>0.8</v>
      </c>
      <c r="C6" s="10">
        <v>0.6</v>
      </c>
      <c r="D6" s="10">
        <v>1.3</v>
      </c>
      <c r="E6" s="10">
        <v>0.42</v>
      </c>
      <c r="F6" s="10">
        <v>1.1000000000000001</v>
      </c>
      <c r="G6" s="10">
        <v>0.84400000000000008</v>
      </c>
      <c r="I6" s="131"/>
      <c r="J6" s="131"/>
      <c r="K6" s="131"/>
    </row>
    <row r="7" spans="1:11" x14ac:dyDescent="0.25">
      <c r="A7" s="7">
        <v>2</v>
      </c>
      <c r="B7" s="10">
        <v>0.6</v>
      </c>
      <c r="C7" s="10">
        <v>0.57999999999999996</v>
      </c>
      <c r="D7" s="10">
        <v>1.2</v>
      </c>
      <c r="E7" s="10">
        <v>0.4</v>
      </c>
      <c r="F7" s="10">
        <v>0.56000000000000005</v>
      </c>
      <c r="G7" s="10">
        <v>0.66799999999999993</v>
      </c>
      <c r="I7" s="131"/>
      <c r="J7" s="131"/>
      <c r="K7" s="131"/>
    </row>
    <row r="8" spans="1:11" x14ac:dyDescent="0.25">
      <c r="A8" s="7">
        <v>4</v>
      </c>
      <c r="B8" s="10">
        <v>0.5</v>
      </c>
      <c r="C8" s="10">
        <v>0.48</v>
      </c>
      <c r="D8" s="10">
        <v>1.4</v>
      </c>
      <c r="E8" s="10">
        <v>0.52</v>
      </c>
      <c r="F8" s="10">
        <v>1.06</v>
      </c>
      <c r="G8" s="10">
        <v>0.79200000000000004</v>
      </c>
      <c r="I8" s="131"/>
      <c r="J8" s="131"/>
      <c r="K8" s="131"/>
    </row>
    <row r="9" spans="1:11" x14ac:dyDescent="0.25">
      <c r="A9" s="7">
        <v>6</v>
      </c>
      <c r="B9" s="10">
        <v>0.3</v>
      </c>
      <c r="C9" s="10">
        <v>0.7</v>
      </c>
      <c r="D9" s="10">
        <v>1.1000000000000001</v>
      </c>
      <c r="E9" s="10">
        <v>0.62</v>
      </c>
      <c r="F9" s="10">
        <v>0.66</v>
      </c>
      <c r="G9" s="10">
        <v>0.67600000000000005</v>
      </c>
      <c r="I9" s="131"/>
      <c r="J9" s="131"/>
      <c r="K9" s="131"/>
    </row>
    <row r="10" spans="1:11" x14ac:dyDescent="0.25">
      <c r="A10" s="7">
        <v>7</v>
      </c>
      <c r="B10" s="10">
        <v>0.4</v>
      </c>
      <c r="C10" s="10">
        <v>0.8</v>
      </c>
      <c r="D10" s="10">
        <v>1.1000000000000001</v>
      </c>
      <c r="E10" s="10">
        <v>0.76</v>
      </c>
      <c r="F10" s="10">
        <v>1.1000000000000001</v>
      </c>
      <c r="G10" s="10">
        <v>0.83200000000000007</v>
      </c>
      <c r="I10" s="131"/>
      <c r="J10" s="131"/>
      <c r="K10" s="131"/>
    </row>
    <row r="11" spans="1:11" x14ac:dyDescent="0.25">
      <c r="A11" s="7">
        <v>8</v>
      </c>
      <c r="B11" s="10">
        <v>0.4</v>
      </c>
      <c r="C11" s="10">
        <v>0.72</v>
      </c>
      <c r="D11" s="10">
        <v>1</v>
      </c>
      <c r="E11" s="10">
        <v>1.02</v>
      </c>
      <c r="F11" s="10">
        <v>0.82</v>
      </c>
      <c r="G11" s="10">
        <v>0.79200000000000004</v>
      </c>
      <c r="I11" s="131"/>
      <c r="J11" s="131"/>
      <c r="K11" s="131"/>
    </row>
    <row r="12" spans="1:11" x14ac:dyDescent="0.25">
      <c r="A12" s="7">
        <v>9</v>
      </c>
      <c r="B12" s="10">
        <v>1.4</v>
      </c>
      <c r="C12" s="10">
        <v>0.68</v>
      </c>
      <c r="D12" s="10">
        <v>1</v>
      </c>
      <c r="E12" s="10">
        <v>1.54</v>
      </c>
      <c r="F12" s="10">
        <v>2.34</v>
      </c>
      <c r="G12" s="10">
        <v>1.3919999999999999</v>
      </c>
      <c r="I12" s="131"/>
      <c r="J12" s="131"/>
      <c r="K12" s="131"/>
    </row>
    <row r="13" spans="1:11" x14ac:dyDescent="0.25">
      <c r="A13" s="7">
        <v>10</v>
      </c>
      <c r="B13" s="10">
        <v>1.1000000000000001</v>
      </c>
      <c r="C13" s="10">
        <v>1.42</v>
      </c>
      <c r="D13" s="10">
        <v>1.1000000000000001</v>
      </c>
      <c r="E13" s="10">
        <v>1.46</v>
      </c>
      <c r="F13" s="10">
        <v>1.82</v>
      </c>
      <c r="G13" s="10">
        <v>1.3800000000000001</v>
      </c>
      <c r="I13" s="131"/>
      <c r="J13" s="131"/>
      <c r="K13" s="131"/>
    </row>
    <row r="14" spans="1:11" x14ac:dyDescent="0.25">
      <c r="A14" s="7">
        <v>11</v>
      </c>
      <c r="B14" s="10">
        <v>1.3</v>
      </c>
      <c r="C14" s="10">
        <v>0.94</v>
      </c>
      <c r="D14" s="10">
        <v>0.9</v>
      </c>
      <c r="E14" s="10">
        <v>1.32</v>
      </c>
      <c r="F14" s="10">
        <v>1.28</v>
      </c>
      <c r="G14" s="10">
        <v>1.1133333333333335</v>
      </c>
      <c r="I14" s="131"/>
      <c r="J14" s="131"/>
      <c r="K14" s="131"/>
    </row>
    <row r="15" spans="1:11" x14ac:dyDescent="0.25">
      <c r="A15" s="7">
        <v>12</v>
      </c>
      <c r="B15" s="10">
        <v>1.1000000000000001</v>
      </c>
      <c r="C15" s="10">
        <v>0.84</v>
      </c>
      <c r="D15" s="10">
        <v>0.9</v>
      </c>
      <c r="E15" s="10">
        <v>1</v>
      </c>
      <c r="F15" s="10">
        <v>1.4</v>
      </c>
      <c r="G15" s="10">
        <v>1.0133333333333334</v>
      </c>
      <c r="I15" s="131"/>
      <c r="J15" s="131"/>
      <c r="K15" s="131"/>
    </row>
    <row r="16" spans="1:11" x14ac:dyDescent="0.25">
      <c r="A16" s="7" t="s">
        <v>551</v>
      </c>
      <c r="B16" s="10">
        <v>0.79</v>
      </c>
      <c r="C16" s="10">
        <v>0.79499999999999993</v>
      </c>
      <c r="D16" s="10">
        <v>1.1000000000000001</v>
      </c>
      <c r="E16" s="10">
        <v>0.90599999999999992</v>
      </c>
      <c r="F16" s="10">
        <v>1.214</v>
      </c>
      <c r="G16" s="10">
        <v>0.95461538461538464</v>
      </c>
      <c r="I16" s="131"/>
      <c r="J16" s="131"/>
      <c r="K16" s="131"/>
    </row>
    <row r="17" spans="9:11" x14ac:dyDescent="0.25">
      <c r="I17" s="131"/>
      <c r="J17" s="131"/>
      <c r="K17" s="131"/>
    </row>
  </sheetData>
  <mergeCells count="1">
    <mergeCell ref="I2:K17"/>
  </mergeCell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6033-4EFF-422E-8B2D-FFB42D6E201F}">
  <sheetPr>
    <tabColor theme="4"/>
  </sheetPr>
  <dimension ref="A2:Y161"/>
  <sheetViews>
    <sheetView topLeftCell="B1" zoomScale="80" zoomScaleNormal="80" workbookViewId="0">
      <selection activeCell="U3" sqref="U3:W19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  <col min="20" max="23" width="12.140625" customWidth="1"/>
  </cols>
  <sheetData>
    <row r="2" spans="1:23" x14ac:dyDescent="0.25">
      <c r="A2" s="132" t="s">
        <v>51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λ=436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161">_xlfn._xlws.FILTER(CHOOSE(1,'Resultados historicos'!C:C,'Resultados historicos'!D:D,'Resultados historicos'!O:O,'Resultados historicos'!A:A),'Resultados historicos'!H:H=A2)</f>
        <v>1</v>
      </c>
      <c r="B4" t="str" cm="1">
        <f t="array" ref="B4:B161">_xlfn._xlws.FILTER(CHOOSE(2,'Resultados historicos'!C:C,'Resultados historicos'!D:D,'Resultados historicos'!O:O,'Resultados historicos'!A:A),'Resultados historicos'!H:H=A2)</f>
        <v>ESTACION EL HIERBAL</v>
      </c>
      <c r="C4" cm="1">
        <f t="array" ref="C4:C161">_xlfn._xlws.FILTER(CHOOSE(3,'Resultados historicos'!C:C,'Resultados historicos'!D:D,'Resultados historicos'!O:O,'Resultados historicos'!A:A),'Resultados historicos'!H:H=A2)</f>
        <v>1.2</v>
      </c>
      <c r="D4" cm="1">
        <f t="array" ref="D4:D161">_xlfn._xlws.FILTER(CHOOSE(4,'Resultados historicos'!C:C,'Resultados historicos'!D:D,'Resultados historicos'!O:O,'Resultados historicos'!A:A),'Resultados historicos'!H:H=A2)</f>
        <v>2020</v>
      </c>
      <c r="E4" s="61">
        <v>2019</v>
      </c>
      <c r="F4" s="61">
        <v>0.3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EL HIERBAL</v>
      </c>
      <c r="C5">
        <v>0.9</v>
      </c>
      <c r="D5">
        <v>2020</v>
      </c>
      <c r="E5" s="61">
        <v>2019</v>
      </c>
      <c r="F5" s="61">
        <v>0.5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EL HIERBAL</v>
      </c>
      <c r="C6">
        <v>0.7</v>
      </c>
      <c r="D6">
        <v>2021</v>
      </c>
      <c r="E6" s="61">
        <v>2019</v>
      </c>
      <c r="F6" s="61">
        <v>0.6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EL HIERBAL</v>
      </c>
      <c r="C7">
        <v>0.3</v>
      </c>
      <c r="D7">
        <v>2019</v>
      </c>
      <c r="E7" s="61">
        <v>2019</v>
      </c>
      <c r="F7" s="61">
        <v>0.3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EL HIERBAL</v>
      </c>
      <c r="C8">
        <v>0.8</v>
      </c>
      <c r="D8">
        <v>2020</v>
      </c>
      <c r="E8" s="61">
        <v>2019</v>
      </c>
      <c r="F8" s="61">
        <v>0.4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EL HIERBAL</v>
      </c>
      <c r="C9">
        <v>0.6</v>
      </c>
      <c r="D9">
        <v>2021</v>
      </c>
      <c r="E9" s="61">
        <v>2019</v>
      </c>
      <c r="F9" s="61">
        <v>0.4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EL HIERBAL</v>
      </c>
      <c r="C10">
        <v>0.7</v>
      </c>
      <c r="D10">
        <v>2021</v>
      </c>
      <c r="E10" s="61">
        <v>2019</v>
      </c>
      <c r="F10" s="61">
        <v>0.4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EL HIERBAL</v>
      </c>
      <c r="C11">
        <v>1.3</v>
      </c>
      <c r="D11">
        <v>2022</v>
      </c>
      <c r="E11" s="61">
        <v>2019</v>
      </c>
      <c r="F11" s="61">
        <v>0.6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EL HIERBAL</v>
      </c>
      <c r="C12">
        <v>0.8</v>
      </c>
      <c r="D12">
        <v>2022</v>
      </c>
      <c r="E12" s="61">
        <v>2019</v>
      </c>
      <c r="F12" s="61">
        <v>0.8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EL HIERBAL</v>
      </c>
      <c r="C13">
        <v>0.5</v>
      </c>
      <c r="D13">
        <v>2022</v>
      </c>
      <c r="E13" s="61">
        <v>2019</v>
      </c>
      <c r="F13" s="61">
        <v>0.4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EL HIERBAL</v>
      </c>
      <c r="C14">
        <v>0.42</v>
      </c>
      <c r="D14">
        <v>2023</v>
      </c>
      <c r="E14" s="61">
        <v>2020</v>
      </c>
      <c r="F14" s="61">
        <v>1.2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EL HIERBAL</v>
      </c>
      <c r="C15">
        <v>0.32</v>
      </c>
      <c r="D15">
        <v>2023</v>
      </c>
      <c r="E15" s="61">
        <v>2020</v>
      </c>
      <c r="F15" s="61">
        <v>0.9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EL HIERBAL</v>
      </c>
      <c r="C16">
        <v>0.48</v>
      </c>
      <c r="D16">
        <v>2023</v>
      </c>
      <c r="E16" s="61">
        <v>2020</v>
      </c>
      <c r="F16" s="61">
        <v>0.8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EL HIERBAL</v>
      </c>
      <c r="C17">
        <v>1.1000000000000001</v>
      </c>
      <c r="D17">
        <v>2024</v>
      </c>
      <c r="E17" s="61">
        <v>2020</v>
      </c>
      <c r="F17" s="61">
        <v>0.6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EL HIERBAL</v>
      </c>
      <c r="C18">
        <v>0.84</v>
      </c>
      <c r="D18">
        <v>2024</v>
      </c>
      <c r="E18" s="61">
        <v>2020</v>
      </c>
      <c r="F18" s="61">
        <v>1.4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EL HIERBAL</v>
      </c>
      <c r="C19">
        <v>0.56000000000000005</v>
      </c>
      <c r="D19">
        <v>2024</v>
      </c>
      <c r="E19" s="61">
        <v>2020</v>
      </c>
      <c r="F19" s="61">
        <v>0.8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MONTENEVADO</v>
      </c>
      <c r="C20">
        <v>0.4</v>
      </c>
      <c r="D20">
        <v>2021</v>
      </c>
      <c r="E20" s="61">
        <v>2020</v>
      </c>
      <c r="F20" s="61">
        <v>0.5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MONTENEVADO</v>
      </c>
      <c r="C21">
        <v>0.5</v>
      </c>
      <c r="D21">
        <v>2019</v>
      </c>
      <c r="E21" s="61">
        <v>2020</v>
      </c>
      <c r="F21" s="61">
        <v>1.1000000000000001</v>
      </c>
      <c r="H21" s="131"/>
      <c r="I21" s="131"/>
      <c r="J21" s="131"/>
      <c r="K21" s="131"/>
      <c r="L21" s="131"/>
      <c r="M21" s="131"/>
      <c r="N21" s="131"/>
      <c r="O21" s="133" t="str">
        <f>H30</f>
        <v>λ=436 (m⁻¹)</v>
      </c>
      <c r="P21" s="133"/>
      <c r="Q21" s="133"/>
      <c r="R21" s="133"/>
      <c r="S21" s="133"/>
      <c r="T21" s="133"/>
      <c r="W21" s="134" t="str">
        <f>O21</f>
        <v>λ=436 (m⁻¹)</v>
      </c>
      <c r="X21" s="134"/>
      <c r="Y21" s="134"/>
    </row>
    <row r="22" spans="1:25" x14ac:dyDescent="0.25">
      <c r="A22">
        <v>2</v>
      </c>
      <c r="B22" t="str">
        <v>ESTACION MONTENEVADO</v>
      </c>
      <c r="C22">
        <v>0.6</v>
      </c>
      <c r="D22">
        <v>2020</v>
      </c>
      <c r="E22" s="61">
        <v>2020</v>
      </c>
      <c r="F22" s="61">
        <v>0.6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MONTENEVADO</v>
      </c>
      <c r="C23">
        <v>1.4</v>
      </c>
      <c r="D23">
        <v>2020</v>
      </c>
      <c r="E23" s="61">
        <v>2020</v>
      </c>
      <c r="F23" s="61">
        <v>0.3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10</v>
      </c>
      <c r="Q23" s="10">
        <f t="shared" ref="Q23:Q28" si="1">_xlfn.MINIFS(_xlfn.ANCHORARRAY($C$4),_xlfn.ANCHORARRAY($D$4),O23)</f>
        <v>0.3</v>
      </c>
      <c r="R23" s="10">
        <f t="shared" ref="R23:R28" si="2">SUMIFS(_xlfn.ANCHORARRAY($C$4),_xlfn.ANCHORARRAY($D$4),O23)/P23</f>
        <v>0.47000000000000003</v>
      </c>
      <c r="S23" s="10">
        <f t="shared" ref="S23:S28" si="3">_xlfn.MAXIFS(_xlfn.ANCHORARRAY($C$4),_xlfn.ANCHORARRAY($D$4),O23)</f>
        <v>0.8</v>
      </c>
      <c r="T23" s="10" cm="1">
        <f t="array" ref="T23">_xlfn.STDEV.S(_xlfn._xlws.FILTER(_xlfn.ANCHORARRAY($C$4),_xlfn.ANCHORARRAY($D$4)=O23))</f>
        <v>0.15670212364724198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MONTENEVADO</v>
      </c>
      <c r="C24">
        <v>0.8</v>
      </c>
      <c r="D24">
        <v>2020</v>
      </c>
      <c r="E24" s="61">
        <v>2020</v>
      </c>
      <c r="F24" s="61">
        <v>0.8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28</v>
      </c>
      <c r="Q24" s="10">
        <f t="shared" si="1"/>
        <v>0.3</v>
      </c>
      <c r="R24" s="10">
        <f t="shared" si="2"/>
        <v>0.86785714285714299</v>
      </c>
      <c r="S24" s="10">
        <f t="shared" si="3"/>
        <v>1.4</v>
      </c>
      <c r="T24" s="10" cm="1">
        <f t="array" ref="T24">_xlfn.STDEV.S(_xlfn._xlws.FILTER(_xlfn.ANCHORARRAY($C$4),_xlfn.ANCHORARRAY($D$4)=O24))</f>
        <v>0.28810179711804179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MONTENEVADO</v>
      </c>
      <c r="C25">
        <v>0.57999999999999996</v>
      </c>
      <c r="D25">
        <v>2021</v>
      </c>
      <c r="E25" s="61">
        <v>2020</v>
      </c>
      <c r="F25" s="61">
        <v>0.7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30</v>
      </c>
      <c r="Q25" s="10">
        <f t="shared" si="1"/>
        <v>0.08</v>
      </c>
      <c r="R25" s="10">
        <f t="shared" si="2"/>
        <v>0.72400000000000009</v>
      </c>
      <c r="S25" s="10">
        <f t="shared" si="3"/>
        <v>1.48</v>
      </c>
      <c r="T25" s="10" cm="1">
        <f t="array" ref="T25">_xlfn.STDEV.S(_xlfn._xlws.FILTER(_xlfn.ANCHORARRAY($C$4),_xlfn.ANCHORARRAY($D$4)=O25))</f>
        <v>0.29629435503834062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MONTENEVADO</v>
      </c>
      <c r="C26">
        <v>0.6</v>
      </c>
      <c r="D26">
        <v>2021</v>
      </c>
      <c r="E26" s="61">
        <v>2020</v>
      </c>
      <c r="F26" s="61">
        <v>0.9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30</v>
      </c>
      <c r="Q26" s="10">
        <f t="shared" si="1"/>
        <v>0.5</v>
      </c>
      <c r="R26" s="10">
        <f t="shared" si="2"/>
        <v>0.85499999999999987</v>
      </c>
      <c r="S26" s="10">
        <f t="shared" si="3"/>
        <v>1.68</v>
      </c>
      <c r="T26" s="10" cm="1">
        <f t="array" ref="T26">_xlfn.STDEV.S(_xlfn._xlws.FILTER(_xlfn.ANCHORARRAY($C$4),_xlfn.ANCHORARRAY($D$4)=O26))</f>
        <v>0.28491680576423828</v>
      </c>
      <c r="V26" t="s">
        <v>565</v>
      </c>
      <c r="W26" s="1" t="str">
        <f>TEXT(R29,"0,00")&amp;" ± "&amp;TEXT((W25*T29/SQRT(P29)),"0,00")</f>
        <v>0,82 ± 0,06</v>
      </c>
      <c r="X26" s="1" t="str">
        <f>TEXT(R29,"0,00")&amp;" ± "&amp;TEXT((X25*T29/SQRT(P29)),"0,00")</f>
        <v>0,82 ± 0,07</v>
      </c>
      <c r="Y26" s="1" t="str">
        <f>TEXT(R29,"0,00")&amp;" ± "&amp;TEXT((Y25*T29/SQRT(P29)),"0,00")</f>
        <v>0,82 ± 0,09</v>
      </c>
    </row>
    <row r="27" spans="1:25" x14ac:dyDescent="0.25">
      <c r="A27">
        <v>2</v>
      </c>
      <c r="B27" t="str">
        <v>ESTACION MONTENEVADO</v>
      </c>
      <c r="C27">
        <v>1.2</v>
      </c>
      <c r="D27">
        <v>2022</v>
      </c>
      <c r="E27" s="61">
        <v>2020</v>
      </c>
      <c r="F27" s="61">
        <v>0.9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30</v>
      </c>
      <c r="Q27" s="10">
        <f t="shared" si="1"/>
        <v>0.24</v>
      </c>
      <c r="R27" s="10">
        <f t="shared" si="2"/>
        <v>0.60566666666666658</v>
      </c>
      <c r="S27" s="10">
        <f t="shared" si="3"/>
        <v>1.54</v>
      </c>
      <c r="T27" s="10" cm="1">
        <f t="array" ref="T27">_xlfn.STDEV.S(_xlfn._xlws.FILTER(_xlfn.ANCHORARRAY($C$4),_xlfn.ANCHORARRAY($D$4)=O27))</f>
        <v>0.36102997614901872</v>
      </c>
      <c r="V27" t="s">
        <v>566</v>
      </c>
      <c r="W27" s="10">
        <f>R29-(W25*T29/SQRT(P29))</f>
        <v>0.76744277466181243</v>
      </c>
      <c r="X27" s="10">
        <f>R29-(X25*T29/SQRT(P29))</f>
        <v>0.75686495733335268</v>
      </c>
      <c r="Y27" s="10">
        <f>R29-(Y25*T29/SQRT(P29))</f>
        <v>0.73619121340039473</v>
      </c>
    </row>
    <row r="28" spans="1:25" x14ac:dyDescent="0.25">
      <c r="A28">
        <v>2</v>
      </c>
      <c r="B28" t="str">
        <v>ESTACION MONTENEVADO</v>
      </c>
      <c r="C28">
        <v>0.6</v>
      </c>
      <c r="D28">
        <v>2022</v>
      </c>
      <c r="E28" s="61">
        <v>2020</v>
      </c>
      <c r="F28" s="61">
        <v>0.4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30</v>
      </c>
      <c r="Q28" s="10">
        <f t="shared" si="1"/>
        <v>0.56000000000000005</v>
      </c>
      <c r="R28" s="10">
        <f t="shared" si="2"/>
        <v>1.1813333333333331</v>
      </c>
      <c r="S28" s="10">
        <f t="shared" si="3"/>
        <v>2.34</v>
      </c>
      <c r="T28" s="10" cm="1">
        <f t="array" ref="T28">_xlfn.STDEV.S(_xlfn._xlws.FILTER(_xlfn.ANCHORARRAY($C$4),_xlfn.ANCHORARRAY($D$4)=O28))</f>
        <v>0.58469994269583014</v>
      </c>
      <c r="V28" t="s">
        <v>567</v>
      </c>
      <c r="W28" s="10">
        <f>R29+(W25*T29/SQRT(P29))</f>
        <v>0.87787368103439034</v>
      </c>
      <c r="X28" s="10">
        <f>R29+(X25*T29/SQRT(P29))</f>
        <v>0.88845149836285009</v>
      </c>
      <c r="Y28" s="10">
        <f>R29+(Y25*T29/SQRT(P29))</f>
        <v>0.90912524229580804</v>
      </c>
    </row>
    <row r="29" spans="1:25" x14ac:dyDescent="0.25">
      <c r="A29">
        <v>2</v>
      </c>
      <c r="B29" t="str">
        <v>ESTACION MONTENEVADO</v>
      </c>
      <c r="C29">
        <v>0.54</v>
      </c>
      <c r="D29">
        <v>2022</v>
      </c>
      <c r="E29" s="61">
        <v>2020</v>
      </c>
      <c r="F29" s="61">
        <v>0.8</v>
      </c>
      <c r="O29" t="s">
        <v>568</v>
      </c>
      <c r="P29" s="1">
        <f>SUM(P23:P28)</f>
        <v>158</v>
      </c>
      <c r="R29" s="10">
        <f>AVERAGE(_xlfn.ANCHORARRAY(C4))</f>
        <v>0.82265822784810139</v>
      </c>
      <c r="T29" s="10">
        <f>_xlfn.STDEV.S(_xlfn.ANCHORARRAY(C4))</f>
        <v>0.42195090987682921</v>
      </c>
    </row>
    <row r="30" spans="1:25" x14ac:dyDescent="0.25">
      <c r="A30">
        <v>2</v>
      </c>
      <c r="B30" t="str">
        <v>ESTACION MONTENEVADO</v>
      </c>
      <c r="C30">
        <v>0.4</v>
      </c>
      <c r="D30">
        <v>2023</v>
      </c>
      <c r="E30" s="61">
        <v>2020</v>
      </c>
      <c r="F30" s="61">
        <v>1.2</v>
      </c>
      <c r="H30" s="133" t="str">
        <f>'Estadistico resumen'!$G$1</f>
        <v>λ=436 (m⁻¹)</v>
      </c>
      <c r="I30" s="133"/>
      <c r="J30" s="133"/>
      <c r="K30" s="133"/>
      <c r="L30" s="133"/>
      <c r="M30" s="133"/>
      <c r="N30" s="133"/>
    </row>
    <row r="31" spans="1:25" x14ac:dyDescent="0.25">
      <c r="A31">
        <v>2</v>
      </c>
      <c r="B31" t="str">
        <v>ESTACION MONTENEVADO</v>
      </c>
      <c r="C31">
        <v>0.36</v>
      </c>
      <c r="D31">
        <v>2023</v>
      </c>
      <c r="E31" s="61">
        <v>2020</v>
      </c>
      <c r="F31" s="61">
        <v>0.4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MONTENEVADO</v>
      </c>
      <c r="C32">
        <v>0.34</v>
      </c>
      <c r="D32">
        <v>2023</v>
      </c>
      <c r="E32" s="61">
        <v>2020</v>
      </c>
      <c r="F32" s="61">
        <v>1.4</v>
      </c>
      <c r="H32" s="1" cm="1">
        <f t="array" ref="H32:H41">_xlfn._xlws.SORT(_xlfn.UNIQUE(_xlfn.ANCHORARRAY(A4)))</f>
        <v>1</v>
      </c>
      <c r="I32" t="str">
        <f>VLOOKUP(H32,$A$4:$B$161,2)</f>
        <v>ESTACION EL HIERBAL</v>
      </c>
      <c r="J32" s="46">
        <f>COUNTIF(_xlfn.ANCHORARRAY($B$4),I32)</f>
        <v>16</v>
      </c>
      <c r="K32" s="10">
        <f>_xlfn.MINIFS(_xlfn.ANCHORARRAY($C$4),_xlfn.ANCHORARRAY($B$4),I32)</f>
        <v>0.3</v>
      </c>
      <c r="L32" s="10">
        <f>SUMIFS(_xlfn.ANCHORARRAY($C$4),_xlfn.ANCHORARRAY($B$4),I32)/J32</f>
        <v>0.72</v>
      </c>
      <c r="M32" s="10">
        <f>_xlfn.MAXIFS(_xlfn.ANCHORARRAY($C$4),_xlfn.ANCHORARRAY($B$4),I32)</f>
        <v>1.3</v>
      </c>
      <c r="N32" s="10" cm="1">
        <f t="array" ref="N32">_xlfn.STDEV.S(_xlfn._xlws.FILTER(_xlfn.ANCHORARRAY($C$4),_xlfn.ANCHORARRAY($B$4)=I32))</f>
        <v>0.29933259094191544</v>
      </c>
    </row>
    <row r="33" spans="1:14" x14ac:dyDescent="0.25">
      <c r="A33">
        <v>2</v>
      </c>
      <c r="B33" t="str">
        <v>ESTACION MONTENEVADO</v>
      </c>
      <c r="C33">
        <v>0.56000000000000005</v>
      </c>
      <c r="D33">
        <v>2024</v>
      </c>
      <c r="E33" s="61">
        <v>2020</v>
      </c>
      <c r="F33" s="61">
        <v>0.9</v>
      </c>
      <c r="H33" s="1">
        <v>2</v>
      </c>
      <c r="I33" t="str">
        <f t="shared" ref="I33:I41" si="4">VLOOKUP(H33,$A$4:$B$161,2)</f>
        <v>ESTACION MONTENEVADO</v>
      </c>
      <c r="J33" s="46">
        <f t="shared" ref="J33:J41" si="5">COUNTIF(_xlfn.ANCHORARRAY($B$4),I33)</f>
        <v>16</v>
      </c>
      <c r="K33" s="10">
        <f t="shared" ref="K33:K41" si="6">_xlfn.MINIFS(_xlfn.ANCHORARRAY($C$4),_xlfn.ANCHORARRAY($B$4),I33)</f>
        <v>0.34</v>
      </c>
      <c r="L33" s="10">
        <f t="shared" ref="L33:L41" si="7">SUMIFS(_xlfn.ANCHORARRAY($C$4),_xlfn.ANCHORARRAY($B$4),I33)/J33</f>
        <v>0.72625000000000006</v>
      </c>
      <c r="M33" s="10">
        <f t="shared" ref="M33:M41" si="8">_xlfn.MAXIFS(_xlfn.ANCHORARRAY($C$4),_xlfn.ANCHORARRAY($B$4),I33)</f>
        <v>2.12</v>
      </c>
      <c r="N33" s="10" cm="1">
        <f t="array" ref="N33">_xlfn.STDEV.S(_xlfn._xlws.FILTER(_xlfn.ANCHORARRAY($C$4),_xlfn.ANCHORARRAY($B$4)=I33))</f>
        <v>0.47021803453291755</v>
      </c>
    </row>
    <row r="34" spans="1:14" x14ac:dyDescent="0.25">
      <c r="A34">
        <v>2</v>
      </c>
      <c r="B34" t="str">
        <v>ESTACION MONTENEVADO</v>
      </c>
      <c r="C34">
        <v>0.62</v>
      </c>
      <c r="D34">
        <v>2024</v>
      </c>
      <c r="E34" s="61">
        <v>2020</v>
      </c>
      <c r="F34" s="61">
        <v>1.1000000000000001</v>
      </c>
      <c r="H34" s="1">
        <v>4</v>
      </c>
      <c r="I34" t="str">
        <f t="shared" si="4"/>
        <v>ESTACION CHARCOMANSO</v>
      </c>
      <c r="J34" s="46">
        <f t="shared" si="5"/>
        <v>16</v>
      </c>
      <c r="K34" s="10">
        <f t="shared" si="6"/>
        <v>0.44</v>
      </c>
      <c r="L34" s="10">
        <f t="shared" si="7"/>
        <v>0.77499999999999991</v>
      </c>
      <c r="M34" s="10">
        <f t="shared" si="8"/>
        <v>1.82</v>
      </c>
      <c r="N34" s="10" cm="1">
        <f t="array" ref="N34">_xlfn.STDEV.S(_xlfn._xlws.FILTER(_xlfn.ANCHORARRAY($C$4),_xlfn.ANCHORARRAY($B$4)=I34))</f>
        <v>0.38908439530089967</v>
      </c>
    </row>
    <row r="35" spans="1:14" x14ac:dyDescent="0.25">
      <c r="A35">
        <v>2</v>
      </c>
      <c r="B35" t="str">
        <v>ESTACION MONTENEVADO</v>
      </c>
      <c r="C35">
        <v>2.12</v>
      </c>
      <c r="D35">
        <v>2024</v>
      </c>
      <c r="E35" s="61">
        <v>2020</v>
      </c>
      <c r="F35" s="61">
        <v>0.8</v>
      </c>
      <c r="H35" s="1">
        <v>6</v>
      </c>
      <c r="I35" t="str">
        <f t="shared" si="4"/>
        <v>ESTACION BOCATOMA MUNICIPIO DE RIONEGRO</v>
      </c>
      <c r="J35" s="46">
        <f t="shared" si="5"/>
        <v>16</v>
      </c>
      <c r="K35" s="10">
        <f t="shared" si="6"/>
        <v>0.3</v>
      </c>
      <c r="L35" s="10">
        <f t="shared" si="7"/>
        <v>0.6974999999999999</v>
      </c>
      <c r="M35" s="10">
        <f t="shared" si="8"/>
        <v>2.2000000000000002</v>
      </c>
      <c r="N35" s="10" cm="1">
        <f t="array" ref="N35">_xlfn.STDEV.S(_xlfn._xlws.FILTER(_xlfn.ANCHORARRAY($C$4),_xlfn.ANCHORARRAY($B$4)=I35))</f>
        <v>0.45412920334782858</v>
      </c>
    </row>
    <row r="36" spans="1:14" x14ac:dyDescent="0.25">
      <c r="A36">
        <v>4</v>
      </c>
      <c r="B36" t="str">
        <v>ESTACION CHARCOMANSO</v>
      </c>
      <c r="C36">
        <v>1.06</v>
      </c>
      <c r="D36">
        <v>2024</v>
      </c>
      <c r="E36" s="61">
        <v>2020</v>
      </c>
      <c r="F36" s="61">
        <v>0.9</v>
      </c>
      <c r="H36" s="1">
        <v>7</v>
      </c>
      <c r="I36" t="str">
        <f t="shared" si="4"/>
        <v>ESTACION PUENTE REAL</v>
      </c>
      <c r="J36" s="46">
        <f t="shared" si="5"/>
        <v>16</v>
      </c>
      <c r="K36" s="10">
        <f t="shared" si="6"/>
        <v>0.3</v>
      </c>
      <c r="L36" s="10">
        <f t="shared" si="7"/>
        <v>0.75562500000000021</v>
      </c>
      <c r="M36" s="10">
        <f t="shared" si="8"/>
        <v>1.6</v>
      </c>
      <c r="N36" s="10" cm="1">
        <f t="array" ref="N36">_xlfn.STDEV.S(_xlfn._xlws.FILTER(_xlfn.ANCHORARRAY($C$4),_xlfn.ANCHORARRAY($B$4)=I36))</f>
        <v>0.34134964967512882</v>
      </c>
    </row>
    <row r="37" spans="1:14" x14ac:dyDescent="0.25">
      <c r="A37">
        <v>4</v>
      </c>
      <c r="B37" t="str">
        <v>ESTACION CHARCOMANSO</v>
      </c>
      <c r="C37">
        <v>0.6</v>
      </c>
      <c r="D37">
        <v>2024</v>
      </c>
      <c r="E37" s="61">
        <v>2020</v>
      </c>
      <c r="F37" s="61">
        <v>0.9</v>
      </c>
      <c r="H37" s="1">
        <v>8</v>
      </c>
      <c r="I37" t="str">
        <f t="shared" si="4"/>
        <v>ESTACION PUENTE ANTES DE LA EBAR EPRIO</v>
      </c>
      <c r="J37" s="46">
        <f t="shared" si="5"/>
        <v>16</v>
      </c>
      <c r="K37" s="10">
        <f t="shared" si="6"/>
        <v>0.24</v>
      </c>
      <c r="L37" s="10">
        <f t="shared" si="7"/>
        <v>0.80249999999999999</v>
      </c>
      <c r="M37" s="10">
        <f t="shared" si="8"/>
        <v>2.2000000000000002</v>
      </c>
      <c r="N37" s="10" cm="1">
        <f t="array" ref="N37">_xlfn.STDEV.S(_xlfn._xlws.FILTER(_xlfn.ANCHORARRAY($C$4),_xlfn.ANCHORARRAY($B$4)=I37))</f>
        <v>0.44547353082609381</v>
      </c>
    </row>
    <row r="38" spans="1:14" x14ac:dyDescent="0.25">
      <c r="A38">
        <v>4</v>
      </c>
      <c r="B38" t="str">
        <v>ESTACION CHARCOMANSO</v>
      </c>
      <c r="C38">
        <v>1.82</v>
      </c>
      <c r="D38">
        <v>2024</v>
      </c>
      <c r="E38" s="61">
        <v>2020</v>
      </c>
      <c r="F38" s="61">
        <v>0.8</v>
      </c>
      <c r="H38" s="1">
        <v>9</v>
      </c>
      <c r="I38" t="str">
        <f t="shared" si="4"/>
        <v>ESTACION DESPUES DE LA DESCARGA DE LA PTARD MUNICIPIO DE RIONEGRO</v>
      </c>
      <c r="J38" s="46">
        <f t="shared" si="5"/>
        <v>15</v>
      </c>
      <c r="K38" s="10">
        <f t="shared" si="6"/>
        <v>0.28000000000000003</v>
      </c>
      <c r="L38" s="10">
        <f t="shared" si="7"/>
        <v>1.0293333333333334</v>
      </c>
      <c r="M38" s="10">
        <f t="shared" si="8"/>
        <v>2.34</v>
      </c>
      <c r="N38" s="10" cm="1">
        <f t="array" ref="N38">_xlfn.STDEV.S(_xlfn._xlws.FILTER(_xlfn.ANCHORARRAY($C$4),_xlfn.ANCHORARRAY($B$4)=I38))</f>
        <v>0.55192477058105671</v>
      </c>
    </row>
    <row r="39" spans="1:14" x14ac:dyDescent="0.25">
      <c r="A39">
        <v>4</v>
      </c>
      <c r="B39" t="str">
        <v>ESTACION CHARCOMANSO</v>
      </c>
      <c r="C39">
        <v>0.9</v>
      </c>
      <c r="D39">
        <v>2021</v>
      </c>
      <c r="E39" s="61">
        <v>2020</v>
      </c>
      <c r="F39" s="61">
        <v>1.3</v>
      </c>
      <c r="H39" s="1">
        <v>10</v>
      </c>
      <c r="I39" t="str">
        <f t="shared" si="4"/>
        <v>ESTACION PUENTE AUTOPISTA</v>
      </c>
      <c r="J39" s="46">
        <f t="shared" si="5"/>
        <v>16</v>
      </c>
      <c r="K39" s="10">
        <f t="shared" si="6"/>
        <v>0.08</v>
      </c>
      <c r="L39" s="10">
        <f t="shared" si="7"/>
        <v>0.96499999999999997</v>
      </c>
      <c r="M39" s="10">
        <f t="shared" si="8"/>
        <v>1.82</v>
      </c>
      <c r="N39" s="10" cm="1">
        <f t="array" ref="N39">_xlfn.STDEV.S(_xlfn._xlws.FILTER(_xlfn.ANCHORARRAY($C$4),_xlfn.ANCHORARRAY($B$4)=I39))</f>
        <v>0.47924941314518082</v>
      </c>
    </row>
    <row r="40" spans="1:14" x14ac:dyDescent="0.25">
      <c r="A40">
        <v>4</v>
      </c>
      <c r="B40" t="str">
        <v>ESTACION CHARCOMANSO</v>
      </c>
      <c r="C40">
        <v>0.6</v>
      </c>
      <c r="D40">
        <v>2019</v>
      </c>
      <c r="E40" s="61">
        <v>2020</v>
      </c>
      <c r="F40" s="61">
        <v>0.8</v>
      </c>
      <c r="H40" s="1">
        <v>11</v>
      </c>
      <c r="I40" t="str">
        <f t="shared" si="4"/>
        <v>ESTACION LA FRESERA</v>
      </c>
      <c r="J40" s="46">
        <f t="shared" si="5"/>
        <v>16</v>
      </c>
      <c r="K40" s="10">
        <f t="shared" si="6"/>
        <v>0.3</v>
      </c>
      <c r="L40" s="10">
        <f t="shared" si="7"/>
        <v>0.93</v>
      </c>
      <c r="M40" s="10">
        <f t="shared" si="8"/>
        <v>1.86</v>
      </c>
      <c r="N40" s="10" cm="1">
        <f t="array" ref="N40">_xlfn.STDEV.S(_xlfn._xlws.FILTER(_xlfn.ANCHORARRAY($C$4),_xlfn.ANCHORARRAY($B$4)=I40))</f>
        <v>0.41773995100620492</v>
      </c>
    </row>
    <row r="41" spans="1:14" x14ac:dyDescent="0.25">
      <c r="A41">
        <v>4</v>
      </c>
      <c r="B41" t="str">
        <v>ESTACION CHARCOMANSO</v>
      </c>
      <c r="C41">
        <v>0.5</v>
      </c>
      <c r="D41">
        <v>2020</v>
      </c>
      <c r="E41" s="61">
        <v>2020</v>
      </c>
      <c r="F41" s="61">
        <v>1.1000000000000001</v>
      </c>
      <c r="H41" s="1">
        <v>12</v>
      </c>
      <c r="I41" t="str">
        <f t="shared" si="4"/>
        <v>ESTACION RIO ABAJO</v>
      </c>
      <c r="J41" s="46">
        <f t="shared" si="5"/>
        <v>15</v>
      </c>
      <c r="K41" s="10">
        <f t="shared" si="6"/>
        <v>0.25</v>
      </c>
      <c r="L41" s="10">
        <f t="shared" si="7"/>
        <v>0.83933333333333349</v>
      </c>
      <c r="M41" s="10">
        <f t="shared" si="8"/>
        <v>1.4</v>
      </c>
      <c r="N41" s="10" cm="1">
        <f t="array" ref="N41">_xlfn.STDEV.S(_xlfn._xlws.FILTER(_xlfn.ANCHORARRAY($C$4),_xlfn.ANCHORARRAY($B$4)=I41))</f>
        <v>0.27251387033288682</v>
      </c>
    </row>
    <row r="42" spans="1:14" x14ac:dyDescent="0.25">
      <c r="A42">
        <v>4</v>
      </c>
      <c r="B42" t="str">
        <v>ESTACION CHARCOMANSO</v>
      </c>
      <c r="C42">
        <v>1.1000000000000001</v>
      </c>
      <c r="D42">
        <v>2020</v>
      </c>
      <c r="E42" s="61">
        <v>2021</v>
      </c>
      <c r="F42" s="61">
        <v>0.7</v>
      </c>
    </row>
    <row r="43" spans="1:14" x14ac:dyDescent="0.25">
      <c r="A43">
        <v>4</v>
      </c>
      <c r="B43" t="str">
        <v>ESTACION CHARCOMANSO</v>
      </c>
      <c r="C43">
        <v>0.6</v>
      </c>
      <c r="D43">
        <v>2020</v>
      </c>
      <c r="E43" s="61">
        <v>2021</v>
      </c>
      <c r="F43" s="61">
        <v>0.6</v>
      </c>
    </row>
    <row r="44" spans="1:14" x14ac:dyDescent="0.25">
      <c r="A44">
        <v>4</v>
      </c>
      <c r="B44" t="str">
        <v>ESTACION CHARCOMANSO</v>
      </c>
      <c r="C44">
        <v>0.48</v>
      </c>
      <c r="D44">
        <v>2021</v>
      </c>
      <c r="E44" s="61">
        <v>2021</v>
      </c>
      <c r="F44" s="61">
        <v>0.7</v>
      </c>
    </row>
    <row r="45" spans="1:14" x14ac:dyDescent="0.25">
      <c r="A45">
        <v>4</v>
      </c>
      <c r="B45" t="str">
        <v>ESTACION CHARCOMANSO</v>
      </c>
      <c r="C45">
        <v>0.6</v>
      </c>
      <c r="D45">
        <v>2021</v>
      </c>
      <c r="E45" s="61">
        <v>2021</v>
      </c>
      <c r="F45" s="61">
        <v>0.4</v>
      </c>
    </row>
    <row r="46" spans="1:14" x14ac:dyDescent="0.25">
      <c r="A46">
        <v>4</v>
      </c>
      <c r="B46" t="str">
        <v>ESTACION CHARCOMANSO</v>
      </c>
      <c r="C46">
        <v>1.4</v>
      </c>
      <c r="D46">
        <v>2022</v>
      </c>
      <c r="E46" s="61">
        <v>2021</v>
      </c>
      <c r="F46" s="61">
        <v>0.57999999999999996</v>
      </c>
    </row>
    <row r="47" spans="1:14" x14ac:dyDescent="0.25">
      <c r="A47">
        <v>4</v>
      </c>
      <c r="B47" t="str">
        <v>ESTACION CHARCOMANSO</v>
      </c>
      <c r="C47">
        <v>0.7</v>
      </c>
      <c r="D47">
        <v>2022</v>
      </c>
      <c r="E47" s="61">
        <v>2021</v>
      </c>
      <c r="F47" s="61">
        <v>0.6</v>
      </c>
    </row>
    <row r="48" spans="1:14" x14ac:dyDescent="0.25">
      <c r="A48">
        <v>4</v>
      </c>
      <c r="B48" t="str">
        <v>ESTACION CHARCOMANSO</v>
      </c>
      <c r="C48">
        <v>0.6</v>
      </c>
      <c r="D48">
        <v>2022</v>
      </c>
      <c r="E48" s="61">
        <v>2021</v>
      </c>
      <c r="F48" s="61">
        <v>0.9</v>
      </c>
    </row>
    <row r="49" spans="1:6" x14ac:dyDescent="0.25">
      <c r="A49">
        <v>4</v>
      </c>
      <c r="B49" t="str">
        <v>ESTACION CHARCOMANSO</v>
      </c>
      <c r="C49">
        <v>0.52</v>
      </c>
      <c r="D49">
        <v>2023</v>
      </c>
      <c r="E49" s="61">
        <v>2021</v>
      </c>
      <c r="F49" s="61">
        <v>0.48</v>
      </c>
    </row>
    <row r="50" spans="1:6" x14ac:dyDescent="0.25">
      <c r="A50">
        <v>4</v>
      </c>
      <c r="B50" t="str">
        <v>ESTACION CHARCOMANSO</v>
      </c>
      <c r="C50">
        <v>0.48</v>
      </c>
      <c r="D50">
        <v>2023</v>
      </c>
      <c r="E50" s="61">
        <v>2021</v>
      </c>
      <c r="F50" s="61">
        <v>0.6</v>
      </c>
    </row>
    <row r="51" spans="1:6" x14ac:dyDescent="0.25">
      <c r="A51">
        <v>4</v>
      </c>
      <c r="B51" t="str">
        <v>ESTACION CHARCOMANSO</v>
      </c>
      <c r="C51">
        <v>0.44</v>
      </c>
      <c r="D51">
        <v>2023</v>
      </c>
      <c r="E51" s="61">
        <v>2021</v>
      </c>
      <c r="F51" s="61">
        <v>0.4</v>
      </c>
    </row>
    <row r="52" spans="1:6" x14ac:dyDescent="0.25">
      <c r="A52">
        <v>6</v>
      </c>
      <c r="B52" t="str">
        <v>ESTACION BOCATOMA MUNICIPIO DE RIONEGRO</v>
      </c>
      <c r="C52">
        <v>0.66</v>
      </c>
      <c r="D52">
        <v>2024</v>
      </c>
      <c r="E52" s="61">
        <v>2021</v>
      </c>
      <c r="F52" s="61">
        <v>0.7</v>
      </c>
    </row>
    <row r="53" spans="1:6" x14ac:dyDescent="0.25">
      <c r="A53">
        <v>6</v>
      </c>
      <c r="B53" t="str">
        <v>ESTACION BOCATOMA MUNICIPIO DE RIONEGRO</v>
      </c>
      <c r="C53">
        <v>0.62</v>
      </c>
      <c r="D53">
        <v>2024</v>
      </c>
      <c r="E53" s="61">
        <v>2021</v>
      </c>
      <c r="F53" s="61">
        <v>0.8</v>
      </c>
    </row>
    <row r="54" spans="1:6" x14ac:dyDescent="0.25">
      <c r="A54">
        <v>6</v>
      </c>
      <c r="B54" t="str">
        <v>ESTACION BOCATOMA MUNICIPIO DE RIONEGRO</v>
      </c>
      <c r="C54">
        <v>2.2000000000000002</v>
      </c>
      <c r="D54">
        <v>2024</v>
      </c>
      <c r="E54" s="61">
        <v>2021</v>
      </c>
      <c r="F54" s="61">
        <v>0.3</v>
      </c>
    </row>
    <row r="55" spans="1:6" x14ac:dyDescent="0.25">
      <c r="A55">
        <v>6</v>
      </c>
      <c r="B55" t="str">
        <v>ESTACION BOCATOMA MUNICIPIO DE RIONEGRO</v>
      </c>
      <c r="C55">
        <v>0.4</v>
      </c>
      <c r="D55">
        <v>2021</v>
      </c>
      <c r="E55" s="61">
        <v>2021</v>
      </c>
      <c r="F55" s="61">
        <v>0.8</v>
      </c>
    </row>
    <row r="56" spans="1:6" x14ac:dyDescent="0.25">
      <c r="A56">
        <v>6</v>
      </c>
      <c r="B56" t="str">
        <v>ESTACION BOCATOMA MUNICIPIO DE RIONEGRO</v>
      </c>
      <c r="C56">
        <v>0.3</v>
      </c>
      <c r="D56">
        <v>2019</v>
      </c>
      <c r="E56" s="61">
        <v>2021</v>
      </c>
      <c r="F56" s="61">
        <v>0.9</v>
      </c>
    </row>
    <row r="57" spans="1:6" x14ac:dyDescent="0.25">
      <c r="A57">
        <v>6</v>
      </c>
      <c r="B57" t="str">
        <v>ESTACION BOCATOMA MUNICIPIO DE RIONEGRO</v>
      </c>
      <c r="C57">
        <v>0.3</v>
      </c>
      <c r="D57">
        <v>2020</v>
      </c>
      <c r="E57" s="61">
        <v>2021</v>
      </c>
      <c r="F57" s="61">
        <v>0.8</v>
      </c>
    </row>
    <row r="58" spans="1:6" x14ac:dyDescent="0.25">
      <c r="A58">
        <v>6</v>
      </c>
      <c r="B58" t="str">
        <v>ESTACION BOCATOMA MUNICIPIO DE RIONEGRO</v>
      </c>
      <c r="C58">
        <v>0.8</v>
      </c>
      <c r="D58">
        <v>2020</v>
      </c>
      <c r="E58" s="61">
        <v>2021</v>
      </c>
      <c r="F58" s="61">
        <v>0.72</v>
      </c>
    </row>
    <row r="59" spans="1:6" x14ac:dyDescent="0.25">
      <c r="A59">
        <v>6</v>
      </c>
      <c r="B59" t="str">
        <v>ESTACION BOCATOMA MUNICIPIO DE RIONEGRO</v>
      </c>
      <c r="C59">
        <v>0.7</v>
      </c>
      <c r="D59">
        <v>2020</v>
      </c>
      <c r="E59" s="61">
        <v>2021</v>
      </c>
      <c r="F59" s="61">
        <v>0.7</v>
      </c>
    </row>
    <row r="60" spans="1:6" x14ac:dyDescent="0.25">
      <c r="A60">
        <v>6</v>
      </c>
      <c r="B60" t="str">
        <v>ESTACION BOCATOMA MUNICIPIO DE RIONEGRO</v>
      </c>
      <c r="C60">
        <v>0.7</v>
      </c>
      <c r="D60">
        <v>2021</v>
      </c>
      <c r="E60" s="61">
        <v>2021</v>
      </c>
      <c r="F60" s="61">
        <v>0.8</v>
      </c>
    </row>
    <row r="61" spans="1:6" x14ac:dyDescent="0.25">
      <c r="A61">
        <v>6</v>
      </c>
      <c r="B61" t="str">
        <v>ESTACION BOCATOMA MUNICIPIO DE RIONEGRO</v>
      </c>
      <c r="C61">
        <v>0.8</v>
      </c>
      <c r="D61">
        <v>2021</v>
      </c>
      <c r="E61" s="61">
        <v>2021</v>
      </c>
      <c r="F61" s="61">
        <v>0.68</v>
      </c>
    </row>
    <row r="62" spans="1:6" x14ac:dyDescent="0.25">
      <c r="A62">
        <v>6</v>
      </c>
      <c r="B62" t="str">
        <v>ESTACION BOCATOMA MUNICIPIO DE RIONEGRO</v>
      </c>
      <c r="C62">
        <v>1.1000000000000001</v>
      </c>
      <c r="D62">
        <v>2022</v>
      </c>
      <c r="E62" s="61">
        <v>2021</v>
      </c>
      <c r="F62" s="61">
        <v>0.9</v>
      </c>
    </row>
    <row r="63" spans="1:6" x14ac:dyDescent="0.25">
      <c r="A63">
        <v>6</v>
      </c>
      <c r="B63" t="str">
        <v>ESTACION BOCATOMA MUNICIPIO DE RIONEGRO</v>
      </c>
      <c r="C63">
        <v>0.6</v>
      </c>
      <c r="D63">
        <v>2022</v>
      </c>
      <c r="E63" s="61">
        <v>2021</v>
      </c>
      <c r="F63" s="61">
        <v>0.08</v>
      </c>
    </row>
    <row r="64" spans="1:6" x14ac:dyDescent="0.25">
      <c r="A64">
        <v>6</v>
      </c>
      <c r="B64" t="str">
        <v>ESTACION BOCATOMA MUNICIPIO DE RIONEGRO</v>
      </c>
      <c r="C64">
        <v>0.62</v>
      </c>
      <c r="D64">
        <v>2022</v>
      </c>
      <c r="E64" s="61">
        <v>2021</v>
      </c>
      <c r="F64" s="61">
        <v>1.42</v>
      </c>
    </row>
    <row r="65" spans="1:6" x14ac:dyDescent="0.25">
      <c r="A65">
        <v>6</v>
      </c>
      <c r="B65" t="str">
        <v>ESTACION BOCATOMA MUNICIPIO DE RIONEGRO</v>
      </c>
      <c r="C65">
        <v>0.62</v>
      </c>
      <c r="D65">
        <v>2023</v>
      </c>
      <c r="E65" s="61">
        <v>2021</v>
      </c>
      <c r="F65" s="61">
        <v>1.1000000000000001</v>
      </c>
    </row>
    <row r="66" spans="1:6" x14ac:dyDescent="0.25">
      <c r="A66">
        <v>6</v>
      </c>
      <c r="B66" t="str">
        <v>ESTACION BOCATOMA MUNICIPIO DE RIONEGRO</v>
      </c>
      <c r="C66">
        <v>0.42</v>
      </c>
      <c r="D66">
        <v>2023</v>
      </c>
      <c r="E66" s="61">
        <v>2021</v>
      </c>
      <c r="F66" s="61">
        <v>0.5</v>
      </c>
    </row>
    <row r="67" spans="1:6" x14ac:dyDescent="0.25">
      <c r="A67">
        <v>6</v>
      </c>
      <c r="B67" t="str">
        <v>ESTACION BOCATOMA MUNICIPIO DE RIONEGRO</v>
      </c>
      <c r="C67">
        <v>0.32</v>
      </c>
      <c r="D67">
        <v>2023</v>
      </c>
      <c r="E67" s="61">
        <v>2021</v>
      </c>
      <c r="F67" s="61">
        <v>1.48</v>
      </c>
    </row>
    <row r="68" spans="1:6" x14ac:dyDescent="0.25">
      <c r="A68">
        <v>7</v>
      </c>
      <c r="B68" t="str">
        <v>ESTACION PUENTE REAL</v>
      </c>
      <c r="C68">
        <v>1.1000000000000001</v>
      </c>
      <c r="D68">
        <v>2024</v>
      </c>
      <c r="E68" s="61">
        <v>2021</v>
      </c>
      <c r="F68" s="61">
        <v>0.4</v>
      </c>
    </row>
    <row r="69" spans="1:6" x14ac:dyDescent="0.25">
      <c r="A69">
        <v>7</v>
      </c>
      <c r="B69" t="str">
        <v>ESTACION PUENTE REAL</v>
      </c>
      <c r="C69">
        <v>0.66</v>
      </c>
      <c r="D69">
        <v>2024</v>
      </c>
      <c r="E69" s="61">
        <v>2021</v>
      </c>
      <c r="F69" s="61">
        <v>1</v>
      </c>
    </row>
    <row r="70" spans="1:6" x14ac:dyDescent="0.25">
      <c r="A70">
        <v>7</v>
      </c>
      <c r="B70" t="str">
        <v>ESTACION PUENTE REAL</v>
      </c>
      <c r="C70">
        <v>1.6</v>
      </c>
      <c r="D70">
        <v>2024</v>
      </c>
      <c r="E70" s="61">
        <v>2021</v>
      </c>
      <c r="F70" s="61">
        <v>0.98</v>
      </c>
    </row>
    <row r="71" spans="1:6" x14ac:dyDescent="0.25">
      <c r="A71">
        <v>7</v>
      </c>
      <c r="B71" t="str">
        <v>ESTACION PUENTE REAL</v>
      </c>
      <c r="C71">
        <v>0.9</v>
      </c>
      <c r="D71">
        <v>2020</v>
      </c>
      <c r="E71" s="61">
        <v>2021</v>
      </c>
      <c r="F71" s="61">
        <v>0.7</v>
      </c>
    </row>
    <row r="72" spans="1:6" x14ac:dyDescent="0.25">
      <c r="A72">
        <v>7</v>
      </c>
      <c r="B72" t="str">
        <v>ESTACION PUENTE REAL</v>
      </c>
      <c r="C72">
        <v>0.9</v>
      </c>
      <c r="D72">
        <v>2020</v>
      </c>
      <c r="E72" s="61">
        <v>2022</v>
      </c>
      <c r="F72" s="61">
        <v>1.3</v>
      </c>
    </row>
    <row r="73" spans="1:6" x14ac:dyDescent="0.25">
      <c r="A73">
        <v>7</v>
      </c>
      <c r="B73" t="str">
        <v>ESTACION PUENTE REAL</v>
      </c>
      <c r="C73">
        <v>0.3</v>
      </c>
      <c r="D73">
        <v>2021</v>
      </c>
      <c r="E73" s="61">
        <v>2022</v>
      </c>
      <c r="F73" s="61">
        <v>0.8</v>
      </c>
    </row>
    <row r="74" spans="1:6" x14ac:dyDescent="0.25">
      <c r="A74">
        <v>7</v>
      </c>
      <c r="B74" t="str">
        <v>ESTACION PUENTE REAL</v>
      </c>
      <c r="C74">
        <v>0.4</v>
      </c>
      <c r="D74">
        <v>2019</v>
      </c>
      <c r="E74" s="61">
        <v>2022</v>
      </c>
      <c r="F74" s="61">
        <v>0.5</v>
      </c>
    </row>
    <row r="75" spans="1:6" x14ac:dyDescent="0.25">
      <c r="A75">
        <v>7</v>
      </c>
      <c r="B75" t="str">
        <v>ESTACION PUENTE REAL</v>
      </c>
      <c r="C75">
        <v>0.4</v>
      </c>
      <c r="D75">
        <v>2020</v>
      </c>
      <c r="E75" s="61">
        <v>2022</v>
      </c>
      <c r="F75" s="61">
        <v>1.2</v>
      </c>
    </row>
    <row r="76" spans="1:6" x14ac:dyDescent="0.25">
      <c r="A76">
        <v>7</v>
      </c>
      <c r="B76" t="str">
        <v>ESTACION PUENTE REAL</v>
      </c>
      <c r="C76">
        <v>0.8</v>
      </c>
      <c r="D76">
        <v>2021</v>
      </c>
      <c r="E76" s="61">
        <v>2022</v>
      </c>
      <c r="F76" s="61">
        <v>0.6</v>
      </c>
    </row>
    <row r="77" spans="1:6" x14ac:dyDescent="0.25">
      <c r="A77">
        <v>7</v>
      </c>
      <c r="B77" t="str">
        <v>ESTACION PUENTE REAL</v>
      </c>
      <c r="C77">
        <v>0.9</v>
      </c>
      <c r="D77">
        <v>2021</v>
      </c>
      <c r="E77" s="61">
        <v>2022</v>
      </c>
      <c r="F77" s="61">
        <v>0.54</v>
      </c>
    </row>
    <row r="78" spans="1:6" x14ac:dyDescent="0.25">
      <c r="A78">
        <v>7</v>
      </c>
      <c r="B78" t="str">
        <v>ESTACION PUENTE REAL</v>
      </c>
      <c r="C78">
        <v>1.1000000000000001</v>
      </c>
      <c r="D78">
        <v>2022</v>
      </c>
      <c r="E78" s="61">
        <v>2022</v>
      </c>
      <c r="F78" s="61">
        <v>1.4</v>
      </c>
    </row>
    <row r="79" spans="1:6" x14ac:dyDescent="0.25">
      <c r="A79">
        <v>7</v>
      </c>
      <c r="B79" t="str">
        <v>ESTACION PUENTE REAL</v>
      </c>
      <c r="C79">
        <v>0.6</v>
      </c>
      <c r="D79">
        <v>2022</v>
      </c>
      <c r="E79" s="61">
        <v>2022</v>
      </c>
      <c r="F79" s="61">
        <v>0.7</v>
      </c>
    </row>
    <row r="80" spans="1:6" x14ac:dyDescent="0.25">
      <c r="A80">
        <v>7</v>
      </c>
      <c r="B80" t="str">
        <v>ESTACION PUENTE REAL</v>
      </c>
      <c r="C80">
        <v>0.81</v>
      </c>
      <c r="D80">
        <v>2022</v>
      </c>
      <c r="E80" s="61">
        <v>2022</v>
      </c>
      <c r="F80" s="61">
        <v>0.6</v>
      </c>
    </row>
    <row r="81" spans="1:6" x14ac:dyDescent="0.25">
      <c r="A81">
        <v>7</v>
      </c>
      <c r="B81" t="str">
        <v>ESTACION PUENTE REAL</v>
      </c>
      <c r="C81">
        <v>0.76</v>
      </c>
      <c r="D81">
        <v>2023</v>
      </c>
      <c r="E81" s="61">
        <v>2022</v>
      </c>
      <c r="F81" s="61">
        <v>1.1000000000000001</v>
      </c>
    </row>
    <row r="82" spans="1:6" x14ac:dyDescent="0.25">
      <c r="A82">
        <v>7</v>
      </c>
      <c r="B82" t="str">
        <v>ESTACION PUENTE REAL</v>
      </c>
      <c r="C82">
        <v>0.54</v>
      </c>
      <c r="D82">
        <v>2023</v>
      </c>
      <c r="E82" s="61">
        <v>2022</v>
      </c>
      <c r="F82" s="61">
        <v>0.6</v>
      </c>
    </row>
    <row r="83" spans="1:6" x14ac:dyDescent="0.25">
      <c r="A83">
        <v>7</v>
      </c>
      <c r="B83" t="str">
        <v>ESTACION PUENTE REAL</v>
      </c>
      <c r="C83">
        <v>0.32</v>
      </c>
      <c r="D83">
        <v>2023</v>
      </c>
      <c r="E83" s="61">
        <v>2022</v>
      </c>
      <c r="F83" s="61">
        <v>0.62</v>
      </c>
    </row>
    <row r="84" spans="1:6" x14ac:dyDescent="0.25">
      <c r="A84">
        <v>8</v>
      </c>
      <c r="B84" t="str">
        <v>ESTACION PUENTE ANTES DE LA EBAR EPRIO</v>
      </c>
      <c r="C84">
        <v>0.82</v>
      </c>
      <c r="D84">
        <v>2024</v>
      </c>
      <c r="E84" s="61">
        <v>2022</v>
      </c>
      <c r="F84" s="61">
        <v>1.1000000000000001</v>
      </c>
    </row>
    <row r="85" spans="1:6" x14ac:dyDescent="0.25">
      <c r="A85">
        <v>8</v>
      </c>
      <c r="B85" t="str">
        <v>ESTACION PUENTE ANTES DE LA EBAR EPRIO</v>
      </c>
      <c r="C85">
        <v>0.66</v>
      </c>
      <c r="D85">
        <v>2024</v>
      </c>
      <c r="E85" s="61">
        <v>2022</v>
      </c>
      <c r="F85" s="61">
        <v>0.6</v>
      </c>
    </row>
    <row r="86" spans="1:6" x14ac:dyDescent="0.25">
      <c r="A86">
        <v>8</v>
      </c>
      <c r="B86" t="str">
        <v>ESTACION PUENTE ANTES DE LA EBAR EPRIO</v>
      </c>
      <c r="C86">
        <v>2.2000000000000002</v>
      </c>
      <c r="D86">
        <v>2024</v>
      </c>
      <c r="E86" s="61">
        <v>2022</v>
      </c>
      <c r="F86" s="61">
        <v>0.81</v>
      </c>
    </row>
    <row r="87" spans="1:6" x14ac:dyDescent="0.25">
      <c r="A87">
        <v>8</v>
      </c>
      <c r="B87" t="str">
        <v>ESTACION PUENTE ANTES DE LA EBAR EPRIO</v>
      </c>
      <c r="C87">
        <v>0.8</v>
      </c>
      <c r="D87">
        <v>2020</v>
      </c>
      <c r="E87" s="61">
        <v>2022</v>
      </c>
      <c r="F87" s="61">
        <v>1</v>
      </c>
    </row>
    <row r="88" spans="1:6" x14ac:dyDescent="0.25">
      <c r="A88">
        <v>8</v>
      </c>
      <c r="B88" t="str">
        <v>ESTACION PUENTE ANTES DE LA EBAR EPRIO</v>
      </c>
      <c r="C88">
        <v>1.2</v>
      </c>
      <c r="D88">
        <v>2020</v>
      </c>
      <c r="E88" s="61">
        <v>2022</v>
      </c>
      <c r="F88" s="61">
        <v>0.7</v>
      </c>
    </row>
    <row r="89" spans="1:6" x14ac:dyDescent="0.25">
      <c r="A89">
        <v>8</v>
      </c>
      <c r="B89" t="str">
        <v>ESTACION PUENTE ANTES DE LA EBAR EPRIO</v>
      </c>
      <c r="C89">
        <v>0.8</v>
      </c>
      <c r="D89">
        <v>2021</v>
      </c>
      <c r="E89" s="61">
        <v>2022</v>
      </c>
      <c r="F89" s="61">
        <v>0.57999999999999996</v>
      </c>
    </row>
    <row r="90" spans="1:6" x14ac:dyDescent="0.25">
      <c r="A90">
        <v>8</v>
      </c>
      <c r="B90" t="str">
        <v>ESTACION PUENTE ANTES DE LA EBAR EPRIO</v>
      </c>
      <c r="C90">
        <v>0.4</v>
      </c>
      <c r="D90">
        <v>2019</v>
      </c>
      <c r="E90" s="61">
        <v>2022</v>
      </c>
      <c r="F90" s="61">
        <v>1</v>
      </c>
    </row>
    <row r="91" spans="1:6" x14ac:dyDescent="0.25">
      <c r="A91">
        <v>8</v>
      </c>
      <c r="B91" t="str">
        <v>ESTACION PUENTE ANTES DE LA EBAR EPRIO</v>
      </c>
      <c r="C91">
        <v>0.4</v>
      </c>
      <c r="D91">
        <v>2020</v>
      </c>
      <c r="E91" s="61">
        <v>2022</v>
      </c>
      <c r="F91" s="61">
        <v>0.8</v>
      </c>
    </row>
    <row r="92" spans="1:6" x14ac:dyDescent="0.25">
      <c r="A92">
        <v>8</v>
      </c>
      <c r="B92" t="str">
        <v>ESTACION PUENTE ANTES DE LA EBAR EPRIO</v>
      </c>
      <c r="C92">
        <v>0.72</v>
      </c>
      <c r="D92">
        <v>2021</v>
      </c>
      <c r="E92" s="61">
        <v>2022</v>
      </c>
      <c r="F92" s="61">
        <v>0.9</v>
      </c>
    </row>
    <row r="93" spans="1:6" x14ac:dyDescent="0.25">
      <c r="A93">
        <v>8</v>
      </c>
      <c r="B93" t="str">
        <v>ESTACION PUENTE ANTES DE LA EBAR EPRIO</v>
      </c>
      <c r="C93">
        <v>0.7</v>
      </c>
      <c r="D93">
        <v>2021</v>
      </c>
      <c r="E93" s="61">
        <v>2022</v>
      </c>
      <c r="F93" s="61">
        <v>1.1000000000000001</v>
      </c>
    </row>
    <row r="94" spans="1:6" x14ac:dyDescent="0.25">
      <c r="A94">
        <v>8</v>
      </c>
      <c r="B94" t="str">
        <v>ESTACION PUENTE ANTES DE LA EBAR EPRIO</v>
      </c>
      <c r="C94">
        <v>1</v>
      </c>
      <c r="D94">
        <v>2022</v>
      </c>
      <c r="E94" s="61">
        <v>2022</v>
      </c>
      <c r="F94" s="61">
        <v>0.5</v>
      </c>
    </row>
    <row r="95" spans="1:6" x14ac:dyDescent="0.25">
      <c r="A95">
        <v>8</v>
      </c>
      <c r="B95" t="str">
        <v>ESTACION PUENTE ANTES DE LA EBAR EPRIO</v>
      </c>
      <c r="C95">
        <v>0.7</v>
      </c>
      <c r="D95">
        <v>2022</v>
      </c>
      <c r="E95" s="61">
        <v>2022</v>
      </c>
      <c r="F95" s="61">
        <v>1.68</v>
      </c>
    </row>
    <row r="96" spans="1:6" x14ac:dyDescent="0.25">
      <c r="A96">
        <v>8</v>
      </c>
      <c r="B96" t="str">
        <v>ESTACION PUENTE ANTES DE LA EBAR EPRIO</v>
      </c>
      <c r="C96">
        <v>0.57999999999999996</v>
      </c>
      <c r="D96">
        <v>2022</v>
      </c>
      <c r="E96" s="61">
        <v>2022</v>
      </c>
      <c r="F96" s="61">
        <v>0.9</v>
      </c>
    </row>
    <row r="97" spans="1:6" x14ac:dyDescent="0.25">
      <c r="A97">
        <v>8</v>
      </c>
      <c r="B97" t="str">
        <v>ESTACION PUENTE ANTES DE LA EBAR EPRIO</v>
      </c>
      <c r="C97">
        <v>1.02</v>
      </c>
      <c r="D97">
        <v>2023</v>
      </c>
      <c r="E97" s="61">
        <v>2022</v>
      </c>
      <c r="F97" s="61">
        <v>0.7</v>
      </c>
    </row>
    <row r="98" spans="1:6" x14ac:dyDescent="0.25">
      <c r="A98">
        <v>8</v>
      </c>
      <c r="B98" t="str">
        <v>ESTACION PUENTE ANTES DE LA EBAR EPRIO</v>
      </c>
      <c r="C98">
        <v>0.6</v>
      </c>
      <c r="D98">
        <v>2023</v>
      </c>
      <c r="E98" s="61">
        <v>2022</v>
      </c>
      <c r="F98" s="61">
        <v>0.78</v>
      </c>
    </row>
    <row r="99" spans="1:6" x14ac:dyDescent="0.25">
      <c r="A99">
        <v>8</v>
      </c>
      <c r="B99" t="str">
        <v>ESTACION PUENTE ANTES DE LA EBAR EPRIO</v>
      </c>
      <c r="C99">
        <v>0.24</v>
      </c>
      <c r="D99">
        <v>2023</v>
      </c>
      <c r="E99" s="61">
        <v>2022</v>
      </c>
      <c r="F99" s="61">
        <v>0.9</v>
      </c>
    </row>
    <row r="100" spans="1:6" x14ac:dyDescent="0.25">
      <c r="A100">
        <v>9</v>
      </c>
      <c r="B100" t="str">
        <v>ESTACION DESPUES DE LA DESCARGA DE LA PTARD MUNICIPIO DE RIONEGRO</v>
      </c>
      <c r="C100">
        <v>2.34</v>
      </c>
      <c r="D100">
        <v>2024</v>
      </c>
      <c r="E100" s="61">
        <v>2022</v>
      </c>
      <c r="F100" s="61">
        <v>0.8</v>
      </c>
    </row>
    <row r="101" spans="1:6" x14ac:dyDescent="0.25">
      <c r="A101">
        <v>9</v>
      </c>
      <c r="B101" t="str">
        <v>ESTACION DESPUES DE LA DESCARGA DE LA PTARD MUNICIPIO DE RIONEGRO</v>
      </c>
      <c r="C101">
        <v>0.84</v>
      </c>
      <c r="D101">
        <v>2024</v>
      </c>
      <c r="E101" s="61">
        <v>2022</v>
      </c>
      <c r="F101" s="61">
        <v>0.84</v>
      </c>
    </row>
    <row r="102" spans="1:6" x14ac:dyDescent="0.25">
      <c r="A102">
        <v>9</v>
      </c>
      <c r="B102" t="str">
        <v>ESTACION DESPUES DE LA DESCARGA DE LA PTARD MUNICIPIO DE RIONEGRO</v>
      </c>
      <c r="C102">
        <v>1.92</v>
      </c>
      <c r="D102">
        <v>2024</v>
      </c>
      <c r="E102" s="61">
        <v>2023</v>
      </c>
      <c r="F102" s="61">
        <v>0.42</v>
      </c>
    </row>
    <row r="103" spans="1:6" x14ac:dyDescent="0.25">
      <c r="A103">
        <v>9</v>
      </c>
      <c r="B103" t="str">
        <v>ESTACION DESPUES DE LA DESCARGA DE LA PTARD MUNICIPIO DE RIONEGRO</v>
      </c>
      <c r="C103">
        <v>0.8</v>
      </c>
      <c r="D103">
        <v>2021</v>
      </c>
      <c r="E103" s="61">
        <v>2023</v>
      </c>
      <c r="F103" s="61">
        <v>0.32</v>
      </c>
    </row>
    <row r="104" spans="1:6" x14ac:dyDescent="0.25">
      <c r="A104">
        <v>9</v>
      </c>
      <c r="B104" t="str">
        <v>ESTACION DESPUES DE LA DESCARGA DE LA PTARD MUNICIPIO DE RIONEGRO</v>
      </c>
      <c r="C104">
        <v>0.4</v>
      </c>
      <c r="D104">
        <v>2019</v>
      </c>
      <c r="E104" s="61">
        <v>2023</v>
      </c>
      <c r="F104" s="61">
        <v>0.48</v>
      </c>
    </row>
    <row r="105" spans="1:6" x14ac:dyDescent="0.25">
      <c r="A105">
        <v>9</v>
      </c>
      <c r="B105" t="str">
        <v>ESTACION DESPUES DE LA DESCARGA DE LA PTARD MUNICIPIO DE RIONEGRO</v>
      </c>
      <c r="C105">
        <v>1.4</v>
      </c>
      <c r="D105">
        <v>2020</v>
      </c>
      <c r="E105" s="61">
        <v>2023</v>
      </c>
      <c r="F105" s="61">
        <v>0.4</v>
      </c>
    </row>
    <row r="106" spans="1:6" x14ac:dyDescent="0.25">
      <c r="A106">
        <v>9</v>
      </c>
      <c r="B106" t="str">
        <v>ESTACION DESPUES DE LA DESCARGA DE LA PTARD MUNICIPIO DE RIONEGRO</v>
      </c>
      <c r="C106">
        <v>0.9</v>
      </c>
      <c r="D106">
        <v>2020</v>
      </c>
      <c r="E106" s="61">
        <v>2023</v>
      </c>
      <c r="F106" s="61">
        <v>0.36</v>
      </c>
    </row>
    <row r="107" spans="1:6" x14ac:dyDescent="0.25">
      <c r="A107">
        <v>9</v>
      </c>
      <c r="B107" t="str">
        <v>ESTACION DESPUES DE LA DESCARGA DE LA PTARD MUNICIPIO DE RIONEGRO</v>
      </c>
      <c r="C107">
        <v>0.68</v>
      </c>
      <c r="D107">
        <v>2021</v>
      </c>
      <c r="E107" s="61">
        <v>2023</v>
      </c>
      <c r="F107" s="61">
        <v>0.34</v>
      </c>
    </row>
    <row r="108" spans="1:6" x14ac:dyDescent="0.25">
      <c r="A108">
        <v>9</v>
      </c>
      <c r="B108" t="str">
        <v>ESTACION DESPUES DE LA DESCARGA DE LA PTARD MUNICIPIO DE RIONEGRO</v>
      </c>
      <c r="C108">
        <v>0.9</v>
      </c>
      <c r="D108">
        <v>2021</v>
      </c>
      <c r="E108" s="61">
        <v>2023</v>
      </c>
      <c r="F108" s="61">
        <v>0.52</v>
      </c>
    </row>
    <row r="109" spans="1:6" x14ac:dyDescent="0.25">
      <c r="A109">
        <v>9</v>
      </c>
      <c r="B109" t="str">
        <v>ESTACION DESPUES DE LA DESCARGA DE LA PTARD MUNICIPIO DE RIONEGRO</v>
      </c>
      <c r="C109">
        <v>1</v>
      </c>
      <c r="D109">
        <v>2022</v>
      </c>
      <c r="E109" s="61">
        <v>2023</v>
      </c>
      <c r="F109" s="61">
        <v>0.48</v>
      </c>
    </row>
    <row r="110" spans="1:6" x14ac:dyDescent="0.25">
      <c r="A110">
        <v>9</v>
      </c>
      <c r="B110" t="str">
        <v>ESTACION DESPUES DE LA DESCARGA DE LA PTARD MUNICIPIO DE RIONEGRO</v>
      </c>
      <c r="C110">
        <v>0.8</v>
      </c>
      <c r="D110">
        <v>2022</v>
      </c>
      <c r="E110" s="61">
        <v>2023</v>
      </c>
      <c r="F110" s="61">
        <v>0.44</v>
      </c>
    </row>
    <row r="111" spans="1:6" x14ac:dyDescent="0.25">
      <c r="A111">
        <v>9</v>
      </c>
      <c r="B111" t="str">
        <v>ESTACION DESPUES DE LA DESCARGA DE LA PTARD MUNICIPIO DE RIONEGRO</v>
      </c>
      <c r="C111">
        <v>0.9</v>
      </c>
      <c r="D111">
        <v>2022</v>
      </c>
      <c r="E111" s="61">
        <v>2023</v>
      </c>
      <c r="F111" s="61">
        <v>0.62</v>
      </c>
    </row>
    <row r="112" spans="1:6" x14ac:dyDescent="0.25">
      <c r="A112">
        <v>9</v>
      </c>
      <c r="B112" t="str">
        <v>ESTACION DESPUES DE LA DESCARGA DE LA PTARD MUNICIPIO DE RIONEGRO</v>
      </c>
      <c r="C112">
        <v>1.54</v>
      </c>
      <c r="D112">
        <v>2023</v>
      </c>
      <c r="E112" s="61">
        <v>2023</v>
      </c>
      <c r="F112" s="61">
        <v>0.42</v>
      </c>
    </row>
    <row r="113" spans="1:6" x14ac:dyDescent="0.25">
      <c r="A113">
        <v>9</v>
      </c>
      <c r="B113" t="str">
        <v>ESTACION DESPUES DE LA DESCARGA DE LA PTARD MUNICIPIO DE RIONEGRO</v>
      </c>
      <c r="C113">
        <v>0.74</v>
      </c>
      <c r="D113">
        <v>2023</v>
      </c>
      <c r="E113" s="61">
        <v>2023</v>
      </c>
      <c r="F113" s="61">
        <v>0.32</v>
      </c>
    </row>
    <row r="114" spans="1:6" x14ac:dyDescent="0.25">
      <c r="A114">
        <v>9</v>
      </c>
      <c r="B114" t="str">
        <v>ESTACION DESPUES DE LA DESCARGA DE LA PTARD MUNICIPIO DE RIONEGRO</v>
      </c>
      <c r="C114">
        <v>0.28000000000000003</v>
      </c>
      <c r="D114">
        <v>2023</v>
      </c>
      <c r="E114" s="61">
        <v>2023</v>
      </c>
      <c r="F114" s="61">
        <v>0.76</v>
      </c>
    </row>
    <row r="115" spans="1:6" x14ac:dyDescent="0.25">
      <c r="A115">
        <v>10</v>
      </c>
      <c r="B115" t="str">
        <v>ESTACION PUENTE AUTOPISTA</v>
      </c>
      <c r="C115">
        <v>1.82</v>
      </c>
      <c r="D115">
        <v>2024</v>
      </c>
      <c r="E115" s="61">
        <v>2023</v>
      </c>
      <c r="F115" s="61">
        <v>0.54</v>
      </c>
    </row>
    <row r="116" spans="1:6" x14ac:dyDescent="0.25">
      <c r="A116">
        <v>10</v>
      </c>
      <c r="B116" t="str">
        <v>ESTACION PUENTE AUTOPISTA</v>
      </c>
      <c r="C116">
        <v>0.86</v>
      </c>
      <c r="D116">
        <v>2024</v>
      </c>
      <c r="E116" s="61">
        <v>2023</v>
      </c>
      <c r="F116" s="61">
        <v>0.32</v>
      </c>
    </row>
    <row r="117" spans="1:6" x14ac:dyDescent="0.25">
      <c r="A117">
        <v>10</v>
      </c>
      <c r="B117" t="str">
        <v>ESTACION PUENTE AUTOPISTA</v>
      </c>
      <c r="C117">
        <v>0.74</v>
      </c>
      <c r="D117">
        <v>2024</v>
      </c>
      <c r="E117" s="61">
        <v>2023</v>
      </c>
      <c r="F117" s="61">
        <v>1.02</v>
      </c>
    </row>
    <row r="118" spans="1:6" x14ac:dyDescent="0.25">
      <c r="A118">
        <v>10</v>
      </c>
      <c r="B118" t="str">
        <v>ESTACION PUENTE AUTOPISTA</v>
      </c>
      <c r="C118">
        <v>0.08</v>
      </c>
      <c r="D118">
        <v>2021</v>
      </c>
      <c r="E118" s="61">
        <v>2023</v>
      </c>
      <c r="F118" s="61">
        <v>0.6</v>
      </c>
    </row>
    <row r="119" spans="1:6" x14ac:dyDescent="0.25">
      <c r="A119">
        <v>10</v>
      </c>
      <c r="B119" t="str">
        <v>ESTACION PUENTE AUTOPISTA</v>
      </c>
      <c r="C119">
        <v>0.6</v>
      </c>
      <c r="D119">
        <v>2019</v>
      </c>
      <c r="E119" s="61">
        <v>2023</v>
      </c>
      <c r="F119" s="61">
        <v>0.24</v>
      </c>
    </row>
    <row r="120" spans="1:6" x14ac:dyDescent="0.25">
      <c r="A120">
        <v>10</v>
      </c>
      <c r="B120" t="str">
        <v>ESTACION PUENTE AUTOPISTA</v>
      </c>
      <c r="C120">
        <v>1.1000000000000001</v>
      </c>
      <c r="D120">
        <v>2020</v>
      </c>
      <c r="E120" s="61">
        <v>2023</v>
      </c>
      <c r="F120" s="61">
        <v>1.54</v>
      </c>
    </row>
    <row r="121" spans="1:6" x14ac:dyDescent="0.25">
      <c r="A121">
        <v>10</v>
      </c>
      <c r="B121" t="str">
        <v>ESTACION PUENTE AUTOPISTA</v>
      </c>
      <c r="C121">
        <v>0.8</v>
      </c>
      <c r="D121">
        <v>2020</v>
      </c>
      <c r="E121" s="61">
        <v>2023</v>
      </c>
      <c r="F121" s="61">
        <v>0.74</v>
      </c>
    </row>
    <row r="122" spans="1:6" x14ac:dyDescent="0.25">
      <c r="A122">
        <v>10</v>
      </c>
      <c r="B122" t="str">
        <v>ESTACION PUENTE AUTOPISTA</v>
      </c>
      <c r="C122">
        <v>0.9</v>
      </c>
      <c r="D122">
        <v>2020</v>
      </c>
      <c r="E122" s="61">
        <v>2023</v>
      </c>
      <c r="F122" s="61">
        <v>0.28000000000000003</v>
      </c>
    </row>
    <row r="123" spans="1:6" x14ac:dyDescent="0.25">
      <c r="A123">
        <v>10</v>
      </c>
      <c r="B123" t="str">
        <v>ESTACION PUENTE AUTOPISTA</v>
      </c>
      <c r="C123">
        <v>1.42</v>
      </c>
      <c r="D123">
        <v>2021</v>
      </c>
      <c r="E123" s="61">
        <v>2023</v>
      </c>
      <c r="F123" s="61">
        <v>1.46</v>
      </c>
    </row>
    <row r="124" spans="1:6" x14ac:dyDescent="0.25">
      <c r="A124">
        <v>10</v>
      </c>
      <c r="B124" t="str">
        <v>ESTACION PUENTE AUTOPISTA</v>
      </c>
      <c r="C124">
        <v>1.1000000000000001</v>
      </c>
      <c r="D124">
        <v>2021</v>
      </c>
      <c r="E124" s="61">
        <v>2023</v>
      </c>
      <c r="F124" s="61">
        <v>1</v>
      </c>
    </row>
    <row r="125" spans="1:6" x14ac:dyDescent="0.25">
      <c r="A125">
        <v>10</v>
      </c>
      <c r="B125" t="str">
        <v>ESTACION PUENTE AUTOPISTA</v>
      </c>
      <c r="C125">
        <v>1.1000000000000001</v>
      </c>
      <c r="D125">
        <v>2022</v>
      </c>
      <c r="E125" s="61">
        <v>2023</v>
      </c>
      <c r="F125" s="61">
        <v>0.28000000000000003</v>
      </c>
    </row>
    <row r="126" spans="1:6" x14ac:dyDescent="0.25">
      <c r="A126">
        <v>10</v>
      </c>
      <c r="B126" t="str">
        <v>ESTACION PUENTE AUTOPISTA</v>
      </c>
      <c r="C126">
        <v>0.5</v>
      </c>
      <c r="D126">
        <v>2022</v>
      </c>
      <c r="E126" s="61">
        <v>2023</v>
      </c>
      <c r="F126" s="61">
        <v>1.32</v>
      </c>
    </row>
    <row r="127" spans="1:6" x14ac:dyDescent="0.25">
      <c r="A127">
        <v>10</v>
      </c>
      <c r="B127" t="str">
        <v>ESTACION PUENTE AUTOPISTA</v>
      </c>
      <c r="C127">
        <v>1.68</v>
      </c>
      <c r="D127">
        <v>2022</v>
      </c>
      <c r="E127" s="61">
        <v>2023</v>
      </c>
      <c r="F127" s="61">
        <v>0.68</v>
      </c>
    </row>
    <row r="128" spans="1:6" x14ac:dyDescent="0.25">
      <c r="A128">
        <v>10</v>
      </c>
      <c r="B128" t="str">
        <v>ESTACION PUENTE AUTOPISTA</v>
      </c>
      <c r="C128">
        <v>1.46</v>
      </c>
      <c r="D128">
        <v>2023</v>
      </c>
      <c r="E128" s="61">
        <v>2023</v>
      </c>
      <c r="F128" s="61">
        <v>0.3</v>
      </c>
    </row>
    <row r="129" spans="1:6" x14ac:dyDescent="0.25">
      <c r="A129">
        <v>10</v>
      </c>
      <c r="B129" t="str">
        <v>ESTACION PUENTE AUTOPISTA</v>
      </c>
      <c r="C129">
        <v>1</v>
      </c>
      <c r="D129">
        <v>2023</v>
      </c>
      <c r="E129" s="61">
        <v>2023</v>
      </c>
      <c r="F129" s="61">
        <v>1</v>
      </c>
    </row>
    <row r="130" spans="1:6" x14ac:dyDescent="0.25">
      <c r="A130">
        <v>10</v>
      </c>
      <c r="B130" t="str">
        <v>ESTACION PUENTE AUTOPISTA</v>
      </c>
      <c r="C130">
        <v>0.28000000000000003</v>
      </c>
      <c r="D130">
        <v>2023</v>
      </c>
      <c r="E130" s="61">
        <v>2023</v>
      </c>
      <c r="F130" s="61">
        <v>0.72</v>
      </c>
    </row>
    <row r="131" spans="1:6" x14ac:dyDescent="0.25">
      <c r="A131">
        <v>11</v>
      </c>
      <c r="B131" t="str">
        <v>ESTACION LA FRESERA</v>
      </c>
      <c r="C131">
        <v>0.88</v>
      </c>
      <c r="D131">
        <v>2024</v>
      </c>
      <c r="E131" s="61">
        <v>2023</v>
      </c>
      <c r="F131" s="61">
        <v>0.25</v>
      </c>
    </row>
    <row r="132" spans="1:6" x14ac:dyDescent="0.25">
      <c r="A132">
        <v>11</v>
      </c>
      <c r="B132" t="str">
        <v>ESTACION LA FRESERA</v>
      </c>
      <c r="C132">
        <v>1.86</v>
      </c>
      <c r="D132">
        <v>2024</v>
      </c>
      <c r="E132" s="61">
        <v>2024</v>
      </c>
      <c r="F132" s="61">
        <v>1.1000000000000001</v>
      </c>
    </row>
    <row r="133" spans="1:6" x14ac:dyDescent="0.25">
      <c r="A133">
        <v>11</v>
      </c>
      <c r="B133" t="str">
        <v>ESTACION LA FRESERA</v>
      </c>
      <c r="C133">
        <v>1.28</v>
      </c>
      <c r="D133">
        <v>2024</v>
      </c>
      <c r="E133" s="61">
        <v>2024</v>
      </c>
      <c r="F133" s="61">
        <v>0.84</v>
      </c>
    </row>
    <row r="134" spans="1:6" x14ac:dyDescent="0.25">
      <c r="A134">
        <v>11</v>
      </c>
      <c r="B134" t="str">
        <v>ESTACION LA FRESERA</v>
      </c>
      <c r="C134">
        <v>0.9</v>
      </c>
      <c r="D134">
        <v>2020</v>
      </c>
      <c r="E134" s="61">
        <v>2024</v>
      </c>
      <c r="F134" s="61">
        <v>0.56000000000000005</v>
      </c>
    </row>
    <row r="135" spans="1:6" x14ac:dyDescent="0.25">
      <c r="A135">
        <v>11</v>
      </c>
      <c r="B135" t="str">
        <v>ESTACION LA FRESERA</v>
      </c>
      <c r="C135">
        <v>0.8</v>
      </c>
      <c r="D135">
        <v>2020</v>
      </c>
      <c r="E135" s="61">
        <v>2024</v>
      </c>
      <c r="F135" s="61">
        <v>0.56000000000000005</v>
      </c>
    </row>
    <row r="136" spans="1:6" x14ac:dyDescent="0.25">
      <c r="A136">
        <v>11</v>
      </c>
      <c r="B136" t="str">
        <v>ESTACION LA FRESERA</v>
      </c>
      <c r="C136">
        <v>0.5</v>
      </c>
      <c r="D136">
        <v>2021</v>
      </c>
      <c r="E136" s="61">
        <v>2024</v>
      </c>
      <c r="F136" s="61">
        <v>0.62</v>
      </c>
    </row>
    <row r="137" spans="1:6" x14ac:dyDescent="0.25">
      <c r="A137">
        <v>11</v>
      </c>
      <c r="B137" t="str">
        <v>ESTACION LA FRESERA</v>
      </c>
      <c r="C137">
        <v>0.8</v>
      </c>
      <c r="D137">
        <v>2019</v>
      </c>
      <c r="E137" s="61">
        <v>2024</v>
      </c>
      <c r="F137" s="61">
        <v>2.12</v>
      </c>
    </row>
    <row r="138" spans="1:6" x14ac:dyDescent="0.25">
      <c r="A138">
        <v>11</v>
      </c>
      <c r="B138" t="str">
        <v>ESTACION LA FRESERA</v>
      </c>
      <c r="C138">
        <v>1.3</v>
      </c>
      <c r="D138">
        <v>2020</v>
      </c>
      <c r="E138" s="61">
        <v>2024</v>
      </c>
      <c r="F138" s="61">
        <v>1.06</v>
      </c>
    </row>
    <row r="139" spans="1:6" x14ac:dyDescent="0.25">
      <c r="A139">
        <v>11</v>
      </c>
      <c r="B139" t="str">
        <v>ESTACION LA FRESERA</v>
      </c>
      <c r="C139">
        <v>1.48</v>
      </c>
      <c r="D139">
        <v>2021</v>
      </c>
      <c r="E139" s="61">
        <v>2024</v>
      </c>
      <c r="F139" s="61">
        <v>0.6</v>
      </c>
    </row>
    <row r="140" spans="1:6" x14ac:dyDescent="0.25">
      <c r="A140">
        <v>11</v>
      </c>
      <c r="B140" t="str">
        <v>ESTACION LA FRESERA</v>
      </c>
      <c r="C140">
        <v>0.4</v>
      </c>
      <c r="D140">
        <v>2021</v>
      </c>
      <c r="E140" s="61">
        <v>2024</v>
      </c>
      <c r="F140" s="61">
        <v>1.82</v>
      </c>
    </row>
    <row r="141" spans="1:6" x14ac:dyDescent="0.25">
      <c r="A141">
        <v>11</v>
      </c>
      <c r="B141" t="str">
        <v>ESTACION LA FRESERA</v>
      </c>
      <c r="C141">
        <v>0.9</v>
      </c>
      <c r="D141">
        <v>2022</v>
      </c>
      <c r="E141" s="61">
        <v>2024</v>
      </c>
      <c r="F141" s="61">
        <v>0.66</v>
      </c>
    </row>
    <row r="142" spans="1:6" x14ac:dyDescent="0.25">
      <c r="A142">
        <v>11</v>
      </c>
      <c r="B142" t="str">
        <v>ESTACION LA FRESERA</v>
      </c>
      <c r="C142">
        <v>0.7</v>
      </c>
      <c r="D142">
        <v>2022</v>
      </c>
      <c r="E142" s="61">
        <v>2024</v>
      </c>
      <c r="F142" s="61">
        <v>0.62</v>
      </c>
    </row>
    <row r="143" spans="1:6" x14ac:dyDescent="0.25">
      <c r="A143">
        <v>11</v>
      </c>
      <c r="B143" t="str">
        <v>ESTACION LA FRESERA</v>
      </c>
      <c r="C143">
        <v>0.78</v>
      </c>
      <c r="D143">
        <v>2022</v>
      </c>
      <c r="E143" s="61">
        <v>2024</v>
      </c>
      <c r="F143" s="61">
        <v>2.2000000000000002</v>
      </c>
    </row>
    <row r="144" spans="1:6" x14ac:dyDescent="0.25">
      <c r="A144">
        <v>11</v>
      </c>
      <c r="B144" t="str">
        <v>ESTACION LA FRESERA</v>
      </c>
      <c r="C144">
        <v>1.32</v>
      </c>
      <c r="D144">
        <v>2023</v>
      </c>
      <c r="E144" s="61">
        <v>2024</v>
      </c>
      <c r="F144" s="61">
        <v>1.1000000000000001</v>
      </c>
    </row>
    <row r="145" spans="1:6" x14ac:dyDescent="0.25">
      <c r="A145">
        <v>11</v>
      </c>
      <c r="B145" t="str">
        <v>ESTACION LA FRESERA</v>
      </c>
      <c r="C145">
        <v>0.68</v>
      </c>
      <c r="D145">
        <v>2023</v>
      </c>
      <c r="E145" s="61">
        <v>2024</v>
      </c>
      <c r="F145" s="61">
        <v>0.66</v>
      </c>
    </row>
    <row r="146" spans="1:6" x14ac:dyDescent="0.25">
      <c r="A146">
        <v>11</v>
      </c>
      <c r="B146" t="str">
        <v>ESTACION LA FRESERA</v>
      </c>
      <c r="C146">
        <v>0.3</v>
      </c>
      <c r="D146">
        <v>2023</v>
      </c>
      <c r="E146" s="61">
        <v>2024</v>
      </c>
      <c r="F146" s="61">
        <v>1.6</v>
      </c>
    </row>
    <row r="147" spans="1:6" x14ac:dyDescent="0.25">
      <c r="A147">
        <v>12</v>
      </c>
      <c r="B147" t="str">
        <v>ESTACION RIO ABAJO</v>
      </c>
      <c r="C147">
        <v>0.8</v>
      </c>
      <c r="D147">
        <v>2024</v>
      </c>
      <c r="E147" s="61">
        <v>2024</v>
      </c>
      <c r="F147" s="61">
        <v>0.82</v>
      </c>
    </row>
    <row r="148" spans="1:6" x14ac:dyDescent="0.25">
      <c r="A148">
        <v>12</v>
      </c>
      <c r="B148" t="str">
        <v>ESTACION RIO ABAJO</v>
      </c>
      <c r="C148">
        <v>0.9</v>
      </c>
      <c r="D148">
        <v>2024</v>
      </c>
      <c r="E148" s="61">
        <v>2024</v>
      </c>
      <c r="F148" s="61">
        <v>0.66</v>
      </c>
    </row>
    <row r="149" spans="1:6" x14ac:dyDescent="0.25">
      <c r="A149">
        <v>12</v>
      </c>
      <c r="B149" t="str">
        <v>ESTACION RIO ABAJO</v>
      </c>
      <c r="C149">
        <v>1.4</v>
      </c>
      <c r="D149">
        <v>2024</v>
      </c>
      <c r="E149" s="61">
        <v>2024</v>
      </c>
      <c r="F149" s="61">
        <v>2.2000000000000002</v>
      </c>
    </row>
    <row r="150" spans="1:6" x14ac:dyDescent="0.25">
      <c r="A150">
        <v>12</v>
      </c>
      <c r="B150" t="str">
        <v>ESTACION RIO ABAJO</v>
      </c>
      <c r="C150">
        <v>0.8</v>
      </c>
      <c r="D150">
        <v>2020</v>
      </c>
      <c r="E150" s="61">
        <v>2024</v>
      </c>
      <c r="F150" s="61">
        <v>2.34</v>
      </c>
    </row>
    <row r="151" spans="1:6" x14ac:dyDescent="0.25">
      <c r="A151">
        <v>12</v>
      </c>
      <c r="B151" t="str">
        <v>ESTACION RIO ABAJO</v>
      </c>
      <c r="C151">
        <v>1</v>
      </c>
      <c r="D151">
        <v>2021</v>
      </c>
      <c r="E151" s="61">
        <v>2024</v>
      </c>
      <c r="F151" s="61">
        <v>0.84</v>
      </c>
    </row>
    <row r="152" spans="1:6" x14ac:dyDescent="0.25">
      <c r="A152">
        <v>12</v>
      </c>
      <c r="B152" t="str">
        <v>ESTACION RIO ABAJO</v>
      </c>
      <c r="C152">
        <v>0.4</v>
      </c>
      <c r="D152">
        <v>2019</v>
      </c>
      <c r="E152" s="61">
        <v>2024</v>
      </c>
      <c r="F152" s="61">
        <v>1.92</v>
      </c>
    </row>
    <row r="153" spans="1:6" x14ac:dyDescent="0.25">
      <c r="A153">
        <v>12</v>
      </c>
      <c r="B153" t="str">
        <v>ESTACION RIO ABAJO</v>
      </c>
      <c r="C153">
        <v>1.1000000000000001</v>
      </c>
      <c r="D153">
        <v>2020</v>
      </c>
      <c r="E153" s="61">
        <v>2024</v>
      </c>
      <c r="F153" s="61">
        <v>1.82</v>
      </c>
    </row>
    <row r="154" spans="1:6" x14ac:dyDescent="0.25">
      <c r="A154">
        <v>12</v>
      </c>
      <c r="B154" t="str">
        <v>ESTACION RIO ABAJO</v>
      </c>
      <c r="C154">
        <v>0.98</v>
      </c>
      <c r="D154">
        <v>2021</v>
      </c>
      <c r="E154" s="61">
        <v>2024</v>
      </c>
      <c r="F154" s="61">
        <v>0.86</v>
      </c>
    </row>
    <row r="155" spans="1:6" x14ac:dyDescent="0.25">
      <c r="A155">
        <v>12</v>
      </c>
      <c r="B155" t="str">
        <v>ESTACION RIO ABAJO</v>
      </c>
      <c r="C155">
        <v>0.7</v>
      </c>
      <c r="D155">
        <v>2021</v>
      </c>
      <c r="E155" s="61">
        <v>2024</v>
      </c>
      <c r="F155" s="61">
        <v>0.74</v>
      </c>
    </row>
    <row r="156" spans="1:6" x14ac:dyDescent="0.25">
      <c r="A156">
        <v>12</v>
      </c>
      <c r="B156" t="str">
        <v>ESTACION RIO ABAJO</v>
      </c>
      <c r="C156">
        <v>0.9</v>
      </c>
      <c r="D156">
        <v>2022</v>
      </c>
      <c r="E156" s="61">
        <v>2024</v>
      </c>
      <c r="F156" s="61">
        <v>0.88</v>
      </c>
    </row>
    <row r="157" spans="1:6" x14ac:dyDescent="0.25">
      <c r="A157">
        <v>12</v>
      </c>
      <c r="B157" t="str">
        <v>ESTACION RIO ABAJO</v>
      </c>
      <c r="C157">
        <v>0.8</v>
      </c>
      <c r="D157">
        <v>2022</v>
      </c>
      <c r="E157" s="61">
        <v>2024</v>
      </c>
      <c r="F157" s="61">
        <v>1.86</v>
      </c>
    </row>
    <row r="158" spans="1:6" x14ac:dyDescent="0.25">
      <c r="A158">
        <v>12</v>
      </c>
      <c r="B158" t="str">
        <v>ESTACION RIO ABAJO</v>
      </c>
      <c r="C158">
        <v>0.84</v>
      </c>
      <c r="D158">
        <v>2022</v>
      </c>
      <c r="E158" s="61">
        <v>2024</v>
      </c>
      <c r="F158" s="61">
        <v>1.28</v>
      </c>
    </row>
    <row r="159" spans="1:6" x14ac:dyDescent="0.25">
      <c r="A159">
        <v>12</v>
      </c>
      <c r="B159" t="str">
        <v>ESTACION RIO ABAJO</v>
      </c>
      <c r="C159">
        <v>1</v>
      </c>
      <c r="D159">
        <v>2023</v>
      </c>
      <c r="E159" s="61">
        <v>2024</v>
      </c>
      <c r="F159" s="61">
        <v>0.8</v>
      </c>
    </row>
    <row r="160" spans="1:6" x14ac:dyDescent="0.25">
      <c r="A160">
        <v>12</v>
      </c>
      <c r="B160" t="str">
        <v>ESTACION RIO ABAJO</v>
      </c>
      <c r="C160">
        <v>0.72</v>
      </c>
      <c r="D160">
        <v>2023</v>
      </c>
      <c r="E160" s="61">
        <v>2024</v>
      </c>
      <c r="F160" s="61">
        <v>0.9</v>
      </c>
    </row>
    <row r="161" spans="1:6" x14ac:dyDescent="0.25">
      <c r="A161">
        <v>12</v>
      </c>
      <c r="B161" t="str">
        <v>ESTACION RIO ABAJO</v>
      </c>
      <c r="C161">
        <v>0.25</v>
      </c>
      <c r="D161">
        <v>2023</v>
      </c>
      <c r="E161" s="61">
        <v>2024</v>
      </c>
      <c r="F161" s="61">
        <v>1.4</v>
      </c>
    </row>
  </sheetData>
  <autoFilter ref="E3:F3" xr:uid="{CD8E6033-4EFF-422E-8B2D-FFB42D6E201F}">
    <sortState xmlns:xlrd2="http://schemas.microsoft.com/office/spreadsheetml/2017/richdata2" ref="E4:F161">
      <sortCondition ref="E3"/>
    </sortState>
  </autoFilter>
  <sortState xmlns:xlrd2="http://schemas.microsoft.com/office/spreadsheetml/2017/richdata2" ref="A4:C141">
    <sortCondition ref="A4:A141"/>
  </sortState>
  <mergeCells count="10">
    <mergeCell ref="H30:N30"/>
    <mergeCell ref="H2:N2"/>
    <mergeCell ref="U2:W2"/>
    <mergeCell ref="O3:T19"/>
    <mergeCell ref="O2:T2"/>
    <mergeCell ref="A2:F2"/>
    <mergeCell ref="O21:T21"/>
    <mergeCell ref="U3:W19"/>
    <mergeCell ref="W21:Y21"/>
    <mergeCell ref="H3:N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58BD-3DEB-45A1-B62B-1F3B77551E26}">
  <sheetPr>
    <tabColor rgb="FFFFFF00"/>
  </sheetPr>
  <dimension ref="A2:Y161"/>
  <sheetViews>
    <sheetView zoomScale="80" zoomScaleNormal="80" workbookViewId="0">
      <selection activeCell="C3" sqref="C3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51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λ=525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161">_xlfn._xlws.FILTER(CHOOSE(1,'Resultados historicos'!C:C,'Resultados historicos'!D:D,'Resultados historicos'!O:O,'Resultados historicos'!A:A),'Resultados historicos'!H:H=A2)</f>
        <v>1</v>
      </c>
      <c r="B4" t="str" cm="1">
        <f t="array" ref="B4:B161">_xlfn._xlws.FILTER(CHOOSE(2,'Resultados historicos'!C:C,'Resultados historicos'!D:D,'Resultados historicos'!O:O,'Resultados historicos'!A:A),'Resultados historicos'!H:H=A2)</f>
        <v>ESTACION EL HIERBAL</v>
      </c>
      <c r="C4" cm="1">
        <f t="array" ref="C4:C161">_xlfn._xlws.FILTER(CHOOSE(3,'Resultados historicos'!C:C,'Resultados historicos'!D:D,'Resultados historicos'!P:P,'Resultados historicos'!A:A),'Resultados historicos'!H:H=A2)</f>
        <v>0.4</v>
      </c>
      <c r="D4" cm="1">
        <f t="array" ref="D4:D161">_xlfn._xlws.FILTER(CHOOSE(4,'Resultados historicos'!C:C,'Resultados historicos'!D:D,'Resultados historicos'!O:O,'Resultados historicos'!A:A),'Resultados historicos'!H:H=A2)</f>
        <v>2020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EL HIERBAL</v>
      </c>
      <c r="C5">
        <v>0.4</v>
      </c>
      <c r="D5">
        <v>2020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EL HIERBAL</v>
      </c>
      <c r="C6">
        <v>0.3</v>
      </c>
      <c r="D6">
        <v>2021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EL HIERBAL</v>
      </c>
      <c r="C7">
        <v>0.1</v>
      </c>
      <c r="D7">
        <v>2019</v>
      </c>
      <c r="E7" s="61">
        <v>2019</v>
      </c>
      <c r="F7" s="61">
        <v>0.1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EL HIERBAL</v>
      </c>
      <c r="C8">
        <v>0.3</v>
      </c>
      <c r="D8">
        <v>2020</v>
      </c>
      <c r="E8" s="61">
        <v>2019</v>
      </c>
      <c r="F8" s="61">
        <v>0.1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EL HIERBAL</v>
      </c>
      <c r="C9">
        <v>0.26</v>
      </c>
      <c r="D9">
        <v>2021</v>
      </c>
      <c r="E9" s="61">
        <v>2019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EL HIERBAL</v>
      </c>
      <c r="C10">
        <v>0.3</v>
      </c>
      <c r="D10">
        <v>2021</v>
      </c>
      <c r="E10" s="61">
        <v>2019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EL HIERBAL</v>
      </c>
      <c r="C11">
        <v>0.4</v>
      </c>
      <c r="D11">
        <v>2022</v>
      </c>
      <c r="E11" s="61">
        <v>2019</v>
      </c>
      <c r="F11" s="61">
        <v>0.2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EL HIERBAL</v>
      </c>
      <c r="C12">
        <v>0.3</v>
      </c>
      <c r="D12">
        <v>2022</v>
      </c>
      <c r="E12" s="61">
        <v>2019</v>
      </c>
      <c r="F12" s="61">
        <v>0.3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EL HIERBAL</v>
      </c>
      <c r="C13">
        <v>0.18</v>
      </c>
      <c r="D13">
        <v>2022</v>
      </c>
      <c r="E13" s="61">
        <v>2019</v>
      </c>
      <c r="F13" s="61">
        <v>0.1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EL HIERBAL</v>
      </c>
      <c r="C14">
        <v>0.16</v>
      </c>
      <c r="D14">
        <v>2023</v>
      </c>
      <c r="E14" s="61">
        <v>2020</v>
      </c>
      <c r="F14" s="61">
        <v>0.4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EL HIERBAL</v>
      </c>
      <c r="C15">
        <v>0.1</v>
      </c>
      <c r="D15">
        <v>2023</v>
      </c>
      <c r="E15" s="61">
        <v>2020</v>
      </c>
      <c r="F15" s="61">
        <v>0.4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EL HIERBAL</v>
      </c>
      <c r="C16">
        <v>0.18</v>
      </c>
      <c r="D16">
        <v>2023</v>
      </c>
      <c r="E16" s="61">
        <v>2020</v>
      </c>
      <c r="F16" s="61">
        <v>0.3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EL HIERBAL</v>
      </c>
      <c r="C17">
        <v>0.54</v>
      </c>
      <c r="D17">
        <v>2024</v>
      </c>
      <c r="E17" s="61">
        <v>2020</v>
      </c>
      <c r="F17" s="61">
        <v>0.3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EL HIERBAL</v>
      </c>
      <c r="C18">
        <v>0.34</v>
      </c>
      <c r="D18">
        <v>2024</v>
      </c>
      <c r="E18" s="61">
        <v>2020</v>
      </c>
      <c r="F18" s="61">
        <v>0.5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EL HIERBAL</v>
      </c>
      <c r="C19">
        <v>0.32</v>
      </c>
      <c r="D19">
        <v>2024</v>
      </c>
      <c r="E19" s="61">
        <v>2020</v>
      </c>
      <c r="F19" s="61">
        <v>0.4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MONTENEVADO</v>
      </c>
      <c r="C20">
        <v>0.1</v>
      </c>
      <c r="D20">
        <v>2021</v>
      </c>
      <c r="E20" s="61">
        <v>2020</v>
      </c>
      <c r="F20" s="61">
        <v>0.2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MONTENEVADO</v>
      </c>
      <c r="C21">
        <v>0.1</v>
      </c>
      <c r="D21">
        <v>2019</v>
      </c>
      <c r="E21" s="61">
        <v>2020</v>
      </c>
      <c r="F21" s="61">
        <v>0.3</v>
      </c>
      <c r="H21" s="131"/>
      <c r="I21" s="131"/>
      <c r="J21" s="131"/>
      <c r="K21" s="131"/>
      <c r="L21" s="131"/>
      <c r="M21" s="131"/>
      <c r="N21" s="131"/>
      <c r="O21" s="135" t="str">
        <f>H30</f>
        <v>λ=525 (m⁻¹)</v>
      </c>
      <c r="P21" s="135"/>
      <c r="Q21" s="135"/>
      <c r="R21" s="135"/>
      <c r="S21" s="135"/>
      <c r="T21" s="135"/>
      <c r="W21" s="136" t="str">
        <f>O21</f>
        <v>λ=525 (m⁻¹)</v>
      </c>
      <c r="X21" s="136"/>
      <c r="Y21" s="136"/>
    </row>
    <row r="22" spans="1:25" x14ac:dyDescent="0.25">
      <c r="A22">
        <v>2</v>
      </c>
      <c r="B22" t="str">
        <v>ESTACION MONTENEVADO</v>
      </c>
      <c r="C22">
        <v>0.3</v>
      </c>
      <c r="D22">
        <v>2020</v>
      </c>
      <c r="E22" s="61">
        <v>2020</v>
      </c>
      <c r="F22" s="61">
        <v>0.3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MONTENEVADO</v>
      </c>
      <c r="C23">
        <v>0.5</v>
      </c>
      <c r="D23">
        <v>2020</v>
      </c>
      <c r="E23" s="61">
        <v>2020</v>
      </c>
      <c r="F23" s="61">
        <v>0.1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10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0.13</v>
      </c>
      <c r="S23" s="10">
        <f t="shared" ref="S23:S28" si="3">_xlfn.MAXIFS(_xlfn.ANCHORARRAY($C$4),_xlfn.ANCHORARRAY($D$4),O23)</f>
        <v>0.3</v>
      </c>
      <c r="T23" s="10" cm="1">
        <f t="array" ref="T23">_xlfn.STDEV.S(_xlfn._xlws.FILTER(_xlfn.ANCHORARRAY($C$4),_xlfn.ANCHORARRAY($D$4)=O23))</f>
        <v>6.7494855771055295E-2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MONTENEVADO</v>
      </c>
      <c r="C24">
        <v>0.4</v>
      </c>
      <c r="D24">
        <v>2020</v>
      </c>
      <c r="E24" s="61">
        <v>2020</v>
      </c>
      <c r="F24" s="61">
        <v>0.2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28</v>
      </c>
      <c r="Q24" s="10">
        <f t="shared" si="1"/>
        <v>0.1</v>
      </c>
      <c r="R24" s="10">
        <f t="shared" si="2"/>
        <v>0.37500000000000006</v>
      </c>
      <c r="S24" s="10">
        <f t="shared" si="3"/>
        <v>0.8</v>
      </c>
      <c r="T24" s="10" cm="1">
        <f t="array" ref="T24">_xlfn.STDEV.S(_xlfn._xlws.FILTER(_xlfn.ANCHORARRAY($C$4),_xlfn.ANCHORARRAY($D$4)=O24))</f>
        <v>0.18584142981864143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MONTENEVADO</v>
      </c>
      <c r="C25">
        <v>0.34</v>
      </c>
      <c r="D25">
        <v>2021</v>
      </c>
      <c r="E25" s="61">
        <v>2020</v>
      </c>
      <c r="F25" s="61">
        <v>0.3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30</v>
      </c>
      <c r="Q25" s="10">
        <f t="shared" si="1"/>
        <v>0.1</v>
      </c>
      <c r="R25" s="10">
        <f t="shared" si="2"/>
        <v>0.39600000000000007</v>
      </c>
      <c r="S25" s="10">
        <f t="shared" si="3"/>
        <v>1.06</v>
      </c>
      <c r="T25" s="10" cm="1">
        <f t="array" ref="T25">_xlfn.STDEV.S(_xlfn._xlws.FILTER(_xlfn.ANCHORARRAY($C$4),_xlfn.ANCHORARRAY($D$4)=O25))</f>
        <v>0.2099852211548428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MONTENEVADO</v>
      </c>
      <c r="C26">
        <v>0.3</v>
      </c>
      <c r="D26">
        <v>2021</v>
      </c>
      <c r="E26" s="61">
        <v>2020</v>
      </c>
      <c r="F26" s="61">
        <v>0.2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30</v>
      </c>
      <c r="Q26" s="10">
        <f t="shared" si="1"/>
        <v>0.18</v>
      </c>
      <c r="R26" s="10">
        <f t="shared" si="2"/>
        <v>0.35733333333333356</v>
      </c>
      <c r="S26" s="10">
        <f t="shared" si="3"/>
        <v>0.98</v>
      </c>
      <c r="T26" s="10" cm="1">
        <f t="array" ref="T26">_xlfn.STDEV.S(_xlfn._xlws.FILTER(_xlfn.ANCHORARRAY($C$4),_xlfn.ANCHORARRAY($D$4)=O26))</f>
        <v>0.143044081301542</v>
      </c>
      <c r="V26" t="s">
        <v>565</v>
      </c>
      <c r="W26" s="1" t="str">
        <f>TEXT(R29,"0,00")&amp;" ± "&amp;TEXT((W25*T29/SQRT(P29)),"0,00")</f>
        <v>0,40 ± 0,04</v>
      </c>
      <c r="X26" s="1" t="str">
        <f>TEXT(R29,"0,00")&amp;" ± "&amp;TEXT((X25*T29/SQRT(P29)),"0,00")</f>
        <v>0,40 ± 0,05</v>
      </c>
      <c r="Y26" s="1" t="str">
        <f>TEXT(R29,"0,00")&amp;" ± "&amp;TEXT((Y25*T29/SQRT(P29)),"0,00")</f>
        <v>0,40 ± 0,06</v>
      </c>
    </row>
    <row r="27" spans="1:25" x14ac:dyDescent="0.25">
      <c r="A27">
        <v>2</v>
      </c>
      <c r="B27" t="str">
        <v>ESTACION MONTENEVADO</v>
      </c>
      <c r="C27">
        <v>0.4</v>
      </c>
      <c r="D27">
        <v>2022</v>
      </c>
      <c r="E27" s="61">
        <v>2020</v>
      </c>
      <c r="F27" s="61">
        <v>0.4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30</v>
      </c>
      <c r="Q27" s="10">
        <f t="shared" si="1"/>
        <v>0.08</v>
      </c>
      <c r="R27" s="10">
        <f t="shared" si="2"/>
        <v>0.26733333333333331</v>
      </c>
      <c r="S27" s="10">
        <f t="shared" si="3"/>
        <v>0.94</v>
      </c>
      <c r="T27" s="10" cm="1">
        <f t="array" ref="T27">_xlfn.STDEV.S(_xlfn._xlws.FILTER(_xlfn.ANCHORARRAY($C$4),_xlfn.ANCHORARRAY($D$4)=O27))</f>
        <v>0.22544872241106539</v>
      </c>
      <c r="V27" t="s">
        <v>566</v>
      </c>
      <c r="W27" s="10">
        <f>R29-(W25*T29/SQRT(P29))</f>
        <v>0.35934101056996354</v>
      </c>
      <c r="X27" s="10">
        <f>R29-(X25*T29/SQRT(P29))</f>
        <v>0.35152757606433815</v>
      </c>
      <c r="Y27" s="10">
        <f>R29-(Y25*T29/SQRT(P29))</f>
        <v>0.33625666154668715</v>
      </c>
    </row>
    <row r="28" spans="1:25" x14ac:dyDescent="0.25">
      <c r="A28">
        <v>2</v>
      </c>
      <c r="B28" t="str">
        <v>ESTACION MONTENEVADO</v>
      </c>
      <c r="C28">
        <v>0.3</v>
      </c>
      <c r="D28">
        <v>2022</v>
      </c>
      <c r="E28" s="61">
        <v>2020</v>
      </c>
      <c r="F28" s="61">
        <v>0.2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30</v>
      </c>
      <c r="Q28" s="10">
        <f t="shared" si="1"/>
        <v>0.22</v>
      </c>
      <c r="R28" s="10">
        <f t="shared" si="2"/>
        <v>0.69333333333333336</v>
      </c>
      <c r="S28" s="10">
        <f t="shared" si="3"/>
        <v>1.78</v>
      </c>
      <c r="T28" s="10" cm="1">
        <f t="array" ref="T28">_xlfn.STDEV.S(_xlfn._xlws.FILTER(_xlfn.ANCHORARRAY($C$4),_xlfn.ANCHORARRAY($D$4)=O28))</f>
        <v>0.49204242411243038</v>
      </c>
      <c r="V28" t="s">
        <v>567</v>
      </c>
      <c r="W28" s="10">
        <f>R29+(W25*T29/SQRT(P29))</f>
        <v>0.44091215398699807</v>
      </c>
      <c r="X28" s="10">
        <f>R29+(X25*T29/SQRT(P29))</f>
        <v>0.44872558849262345</v>
      </c>
      <c r="Y28" s="10">
        <f>R29+(Y25*T29/SQRT(P29))</f>
        <v>0.46399650301027445</v>
      </c>
    </row>
    <row r="29" spans="1:25" x14ac:dyDescent="0.25">
      <c r="A29">
        <v>2</v>
      </c>
      <c r="B29" t="str">
        <v>ESTACION MONTENEVADO</v>
      </c>
      <c r="C29">
        <v>0.22</v>
      </c>
      <c r="D29">
        <v>2022</v>
      </c>
      <c r="E29" s="61">
        <v>2020</v>
      </c>
      <c r="F29" s="61">
        <v>0.2</v>
      </c>
      <c r="O29" t="s">
        <v>568</v>
      </c>
      <c r="P29" s="1">
        <f>SUM(P23:P28)</f>
        <v>158</v>
      </c>
      <c r="R29" s="10">
        <f>AVERAGE(_xlfn.ANCHORARRAY(C4))</f>
        <v>0.4001265822784808</v>
      </c>
      <c r="T29" s="10">
        <f>_xlfn.STDEV.S(_xlfn.ANCHORARRAY(C4))</f>
        <v>0.31167921476969734</v>
      </c>
    </row>
    <row r="30" spans="1:25" x14ac:dyDescent="0.25">
      <c r="A30">
        <v>2</v>
      </c>
      <c r="B30" t="str">
        <v>ESTACION MONTENEVADO</v>
      </c>
      <c r="C30">
        <v>0.14000000000000001</v>
      </c>
      <c r="D30">
        <v>2023</v>
      </c>
      <c r="E30" s="61">
        <v>2020</v>
      </c>
      <c r="F30" s="61">
        <v>0.6</v>
      </c>
      <c r="H30" s="135" t="str">
        <f>'Estadistico resumen'!K1</f>
        <v>λ=525 (m⁻¹)</v>
      </c>
      <c r="I30" s="135"/>
      <c r="J30" s="135"/>
      <c r="K30" s="135"/>
      <c r="L30" s="135"/>
      <c r="M30" s="135"/>
      <c r="N30" s="135"/>
    </row>
    <row r="31" spans="1:25" x14ac:dyDescent="0.25">
      <c r="A31">
        <v>2</v>
      </c>
      <c r="B31" t="str">
        <v>ESTACION MONTENEVADO</v>
      </c>
      <c r="C31">
        <v>0.1</v>
      </c>
      <c r="D31">
        <v>2023</v>
      </c>
      <c r="E31" s="61">
        <v>2020</v>
      </c>
      <c r="F31" s="61">
        <v>0.1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MONTENEVADO</v>
      </c>
      <c r="C32">
        <v>0.16</v>
      </c>
      <c r="D32">
        <v>2023</v>
      </c>
      <c r="E32" s="61">
        <v>2020</v>
      </c>
      <c r="F32" s="61">
        <v>0.8</v>
      </c>
      <c r="H32" s="1" cm="1">
        <f t="array" ref="H32:H41">_xlfn._xlws.SORT(_xlfn.UNIQUE(_xlfn.ANCHORARRAY(A4)))</f>
        <v>1</v>
      </c>
      <c r="I32" t="str">
        <f>VLOOKUP(H32,$A$4:$B$161,2)</f>
        <v>ESTACION EL HIERBAL</v>
      </c>
      <c r="J32" s="46">
        <f>COUNTIF(_xlfn.ANCHORARRAY($B$4),I32)</f>
        <v>16</v>
      </c>
      <c r="K32" s="10">
        <f>_xlfn.MINIFS(_xlfn.ANCHORARRAY($C$4),_xlfn.ANCHORARRAY($B$4),I32)</f>
        <v>0.1</v>
      </c>
      <c r="L32" s="10">
        <f>SUMIFS(_xlfn.ANCHORARRAY($C$4),_xlfn.ANCHORARRAY($B$4),I32)/J32</f>
        <v>0.28625000000000006</v>
      </c>
      <c r="M32" s="10">
        <f>_xlfn.MAXIFS(_xlfn.ANCHORARRAY($C$4),_xlfn.ANCHORARRAY($B$4),I32)</f>
        <v>0.54</v>
      </c>
      <c r="N32" s="10" cm="1">
        <f t="array" ref="N32">_xlfn.STDEV.S(_xlfn._xlws.FILTER(_xlfn.ANCHORARRAY($C$4),_xlfn.ANCHORARRAY($B$4)=I32))</f>
        <v>0.1201596160668521</v>
      </c>
    </row>
    <row r="33" spans="1:14" x14ac:dyDescent="0.25">
      <c r="A33">
        <v>2</v>
      </c>
      <c r="B33" t="str">
        <v>ESTACION MONTENEVADO</v>
      </c>
      <c r="C33">
        <v>0.22</v>
      </c>
      <c r="D33">
        <v>2024</v>
      </c>
      <c r="E33" s="61">
        <v>2020</v>
      </c>
      <c r="F33" s="61">
        <v>0.4</v>
      </c>
      <c r="H33" s="1">
        <v>2</v>
      </c>
      <c r="I33" t="str">
        <f t="shared" ref="I33:I41" si="4">VLOOKUP(H33,$A$4:$B$161,2)</f>
        <v>ESTACION MONTENEVADO</v>
      </c>
      <c r="J33" s="46">
        <f t="shared" ref="J33:J41" si="5">COUNTIF(_xlfn.ANCHORARRAY($B$4),I33)</f>
        <v>16</v>
      </c>
      <c r="K33" s="10">
        <f t="shared" ref="K33:K41" si="6">_xlfn.MINIFS(_xlfn.ANCHORARRAY($C$4),_xlfn.ANCHORARRAY($B$4),I33)</f>
        <v>0.1</v>
      </c>
      <c r="L33" s="10">
        <f t="shared" ref="L33:L41" si="7">SUMIFS(_xlfn.ANCHORARRAY($C$4),_xlfn.ANCHORARRAY($B$4),I33)/J33</f>
        <v>0.35125000000000006</v>
      </c>
      <c r="M33" s="10">
        <f t="shared" ref="M33:M41" si="8">_xlfn.MAXIFS(_xlfn.ANCHORARRAY($C$4),_xlfn.ANCHORARRAY($B$4),I33)</f>
        <v>1.78</v>
      </c>
      <c r="N33" s="10" cm="1">
        <f t="array" ref="N33">_xlfn.STDEV.S(_xlfn._xlws.FILTER(_xlfn.ANCHORARRAY($C$4),_xlfn.ANCHORARRAY($B$4)=I33))</f>
        <v>0.39913030453725251</v>
      </c>
    </row>
    <row r="34" spans="1:14" x14ac:dyDescent="0.25">
      <c r="A34">
        <v>2</v>
      </c>
      <c r="B34" t="str">
        <v>ESTACION MONTENEVADO</v>
      </c>
      <c r="C34">
        <v>0.26</v>
      </c>
      <c r="D34">
        <v>2024</v>
      </c>
      <c r="E34" s="61">
        <v>2020</v>
      </c>
      <c r="F34" s="61">
        <v>0.7</v>
      </c>
      <c r="H34" s="1">
        <v>4</v>
      </c>
      <c r="I34" t="str">
        <f t="shared" si="4"/>
        <v>ESTACION CHARCOMANSO</v>
      </c>
      <c r="J34" s="46">
        <f t="shared" si="5"/>
        <v>16</v>
      </c>
      <c r="K34" s="10">
        <f t="shared" si="6"/>
        <v>0.1</v>
      </c>
      <c r="L34" s="10">
        <f t="shared" si="7"/>
        <v>0.34375</v>
      </c>
      <c r="M34" s="10">
        <f t="shared" si="8"/>
        <v>1.38</v>
      </c>
      <c r="N34" s="10" cm="1">
        <f t="array" ref="N34">_xlfn.STDEV.S(_xlfn._xlws.FILTER(_xlfn.ANCHORARRAY($C$4),_xlfn.ANCHORARRAY($B$4)=I34))</f>
        <v>0.29970819141291399</v>
      </c>
    </row>
    <row r="35" spans="1:14" x14ac:dyDescent="0.25">
      <c r="A35">
        <v>2</v>
      </c>
      <c r="B35" t="str">
        <v>ESTACION MONTENEVADO</v>
      </c>
      <c r="C35">
        <v>1.78</v>
      </c>
      <c r="D35">
        <v>2024</v>
      </c>
      <c r="E35" s="61">
        <v>2020</v>
      </c>
      <c r="F35" s="61">
        <v>0.3</v>
      </c>
      <c r="H35" s="1">
        <v>6</v>
      </c>
      <c r="I35" t="str">
        <f t="shared" si="4"/>
        <v>ESTACION BOCATOMA MUNICIPIO DE RIONEGRO</v>
      </c>
      <c r="J35" s="46">
        <f t="shared" si="5"/>
        <v>16</v>
      </c>
      <c r="K35" s="10">
        <f t="shared" si="6"/>
        <v>0.1</v>
      </c>
      <c r="L35" s="10">
        <f t="shared" si="7"/>
        <v>0.32</v>
      </c>
      <c r="M35" s="10">
        <f t="shared" si="8"/>
        <v>1.7</v>
      </c>
      <c r="N35" s="10" cm="1">
        <f t="array" ref="N35">_xlfn.STDEV.S(_xlfn._xlws.FILTER(_xlfn.ANCHORARRAY($C$4),_xlfn.ANCHORARRAY($B$4)=I35))</f>
        <v>0.38045586691056116</v>
      </c>
    </row>
    <row r="36" spans="1:14" x14ac:dyDescent="0.25">
      <c r="A36">
        <v>4</v>
      </c>
      <c r="B36" t="str">
        <v>ESTACION CHARCOMANSO</v>
      </c>
      <c r="C36">
        <v>0.4</v>
      </c>
      <c r="D36">
        <v>2024</v>
      </c>
      <c r="E36" s="61">
        <v>2020</v>
      </c>
      <c r="F36" s="61">
        <v>0.4</v>
      </c>
      <c r="H36" s="1">
        <v>7</v>
      </c>
      <c r="I36" t="str">
        <f t="shared" si="4"/>
        <v>ESTACION PUENTE REAL</v>
      </c>
      <c r="J36" s="46">
        <f t="shared" si="5"/>
        <v>16</v>
      </c>
      <c r="K36" s="10">
        <f t="shared" si="6"/>
        <v>0.08</v>
      </c>
      <c r="L36" s="10">
        <f t="shared" si="7"/>
        <v>0.34500000000000008</v>
      </c>
      <c r="M36" s="10">
        <f t="shared" si="8"/>
        <v>1.26</v>
      </c>
      <c r="N36" s="10" cm="1">
        <f t="array" ref="N36">_xlfn.STDEV.S(_xlfn._xlws.FILTER(_xlfn.ANCHORARRAY($C$4),_xlfn.ANCHORARRAY($B$4)=I36))</f>
        <v>0.28109310438595475</v>
      </c>
    </row>
    <row r="37" spans="1:14" x14ac:dyDescent="0.25">
      <c r="A37">
        <v>4</v>
      </c>
      <c r="B37" t="str">
        <v>ESTACION CHARCOMANSO</v>
      </c>
      <c r="C37">
        <v>0.3</v>
      </c>
      <c r="D37">
        <v>2024</v>
      </c>
      <c r="E37" s="61">
        <v>2020</v>
      </c>
      <c r="F37" s="61">
        <v>0.3</v>
      </c>
      <c r="H37" s="1">
        <v>8</v>
      </c>
      <c r="I37" t="str">
        <f t="shared" si="4"/>
        <v>ESTACION PUENTE ANTES DE LA EBAR EPRIO</v>
      </c>
      <c r="J37" s="46">
        <f t="shared" si="5"/>
        <v>16</v>
      </c>
      <c r="K37" s="10">
        <f t="shared" si="6"/>
        <v>0.08</v>
      </c>
      <c r="L37" s="10">
        <f t="shared" si="7"/>
        <v>0.36250000000000004</v>
      </c>
      <c r="M37" s="10">
        <f t="shared" si="8"/>
        <v>1.46</v>
      </c>
      <c r="N37" s="10" cm="1">
        <f t="array" ref="N37">_xlfn.STDEV.S(_xlfn._xlws.FILTER(_xlfn.ANCHORARRAY($C$4),_xlfn.ANCHORARRAY($B$4)=I37))</f>
        <v>0.32247997353840946</v>
      </c>
    </row>
    <row r="38" spans="1:14" x14ac:dyDescent="0.25">
      <c r="A38">
        <v>4</v>
      </c>
      <c r="B38" t="str">
        <v>ESTACION CHARCOMANSO</v>
      </c>
      <c r="C38">
        <v>1.38</v>
      </c>
      <c r="D38">
        <v>2024</v>
      </c>
      <c r="E38" s="61">
        <v>2020</v>
      </c>
      <c r="F38" s="61">
        <v>0.4</v>
      </c>
      <c r="H38" s="1">
        <v>9</v>
      </c>
      <c r="I38" t="str">
        <f t="shared" si="4"/>
        <v>ESTACION DESPUES DE LA DESCARGA DE LA PTARD MUNICIPIO DE RIONEGRO</v>
      </c>
      <c r="J38" s="46">
        <f t="shared" si="5"/>
        <v>15</v>
      </c>
      <c r="K38" s="10">
        <f t="shared" si="6"/>
        <v>0.1</v>
      </c>
      <c r="L38" s="10">
        <f t="shared" si="7"/>
        <v>0.53466666666666673</v>
      </c>
      <c r="M38" s="10">
        <f t="shared" si="8"/>
        <v>1.38</v>
      </c>
      <c r="N38" s="10" cm="1">
        <f t="array" ref="N38">_xlfn.STDEV.S(_xlfn._xlws.FILTER(_xlfn.ANCHORARRAY($C$4),_xlfn.ANCHORARRAY($B$4)=I38))</f>
        <v>0.37747027634478642</v>
      </c>
    </row>
    <row r="39" spans="1:14" x14ac:dyDescent="0.25">
      <c r="A39">
        <v>4</v>
      </c>
      <c r="B39" t="str">
        <v>ESTACION CHARCOMANSO</v>
      </c>
      <c r="C39">
        <v>0.5</v>
      </c>
      <c r="D39">
        <v>2021</v>
      </c>
      <c r="E39" s="61">
        <v>2020</v>
      </c>
      <c r="F39" s="61">
        <v>0.8</v>
      </c>
      <c r="H39" s="1">
        <v>10</v>
      </c>
      <c r="I39" t="str">
        <f t="shared" si="4"/>
        <v>ESTACION PUENTE AUTOPISTA</v>
      </c>
      <c r="J39" s="46">
        <f t="shared" si="5"/>
        <v>16</v>
      </c>
      <c r="K39" s="10">
        <f t="shared" si="6"/>
        <v>0.16</v>
      </c>
      <c r="L39" s="10">
        <f t="shared" si="7"/>
        <v>0.54374999999999996</v>
      </c>
      <c r="M39" s="10">
        <f t="shared" si="8"/>
        <v>1.02</v>
      </c>
      <c r="N39" s="10" cm="1">
        <f t="array" ref="N39">_xlfn.STDEV.S(_xlfn._xlws.FILTER(_xlfn.ANCHORARRAY($C$4),_xlfn.ANCHORARRAY($B$4)=I39))</f>
        <v>0.29386788414750836</v>
      </c>
    </row>
    <row r="40" spans="1:14" x14ac:dyDescent="0.25">
      <c r="A40">
        <v>4</v>
      </c>
      <c r="B40" t="str">
        <v>ESTACION CHARCOMANSO</v>
      </c>
      <c r="C40">
        <v>0.1</v>
      </c>
      <c r="D40">
        <v>2019</v>
      </c>
      <c r="E40" s="61">
        <v>2020</v>
      </c>
      <c r="F40" s="61">
        <v>0.4</v>
      </c>
      <c r="H40" s="1">
        <v>11</v>
      </c>
      <c r="I40" t="str">
        <f t="shared" si="4"/>
        <v>ESTACION LA FRESERA</v>
      </c>
      <c r="J40" s="46">
        <f t="shared" si="5"/>
        <v>16</v>
      </c>
      <c r="K40" s="10">
        <f t="shared" si="6"/>
        <v>0.12</v>
      </c>
      <c r="L40" s="10">
        <f t="shared" si="7"/>
        <v>0.505</v>
      </c>
      <c r="M40" s="10">
        <f t="shared" si="8"/>
        <v>1.22</v>
      </c>
      <c r="N40" s="10" cm="1">
        <f t="array" ref="N40">_xlfn.STDEV.S(_xlfn._xlws.FILTER(_xlfn.ANCHORARRAY($C$4),_xlfn.ANCHORARRAY($B$4)=I40))</f>
        <v>0.30519938837859201</v>
      </c>
    </row>
    <row r="41" spans="1:14" x14ac:dyDescent="0.25">
      <c r="A41">
        <v>4</v>
      </c>
      <c r="B41" t="str">
        <v>ESTACION CHARCOMANSO</v>
      </c>
      <c r="C41">
        <v>0.2</v>
      </c>
      <c r="D41">
        <v>2020</v>
      </c>
      <c r="E41" s="61">
        <v>2020</v>
      </c>
      <c r="F41" s="61">
        <v>0.6</v>
      </c>
      <c r="H41" s="1">
        <v>12</v>
      </c>
      <c r="I41" t="str">
        <f t="shared" si="4"/>
        <v>ESTACION RIO ABAJO</v>
      </c>
      <c r="J41" s="46">
        <f t="shared" si="5"/>
        <v>15</v>
      </c>
      <c r="K41" s="10">
        <f t="shared" si="6"/>
        <v>0.08</v>
      </c>
      <c r="L41" s="10">
        <f t="shared" si="7"/>
        <v>0.41866666666666674</v>
      </c>
      <c r="M41" s="10">
        <f t="shared" si="8"/>
        <v>0.74</v>
      </c>
      <c r="N41" s="10" cm="1">
        <f t="array" ref="N41">_xlfn.STDEV.S(_xlfn._xlws.FILTER(_xlfn.ANCHORARRAY($C$4),_xlfn.ANCHORARRAY($B$4)=I41))</f>
        <v>0.17751726944830154</v>
      </c>
    </row>
    <row r="42" spans="1:14" x14ac:dyDescent="0.25">
      <c r="A42">
        <v>4</v>
      </c>
      <c r="B42" t="str">
        <v>ESTACION CHARCOMANSO</v>
      </c>
      <c r="C42">
        <v>0.3</v>
      </c>
      <c r="D42">
        <v>2020</v>
      </c>
      <c r="E42" s="61">
        <v>2021</v>
      </c>
      <c r="F42" s="61">
        <v>0.3</v>
      </c>
    </row>
    <row r="43" spans="1:14" x14ac:dyDescent="0.25">
      <c r="A43">
        <v>4</v>
      </c>
      <c r="B43" t="str">
        <v>ESTACION CHARCOMANSO</v>
      </c>
      <c r="C43">
        <v>0.3</v>
      </c>
      <c r="D43">
        <v>2020</v>
      </c>
      <c r="E43" s="61">
        <v>2021</v>
      </c>
      <c r="F43" s="61">
        <v>0.26</v>
      </c>
    </row>
    <row r="44" spans="1:14" x14ac:dyDescent="0.25">
      <c r="A44">
        <v>4</v>
      </c>
      <c r="B44" t="str">
        <v>ESTACION CHARCOMANSO</v>
      </c>
      <c r="C44">
        <v>0.18</v>
      </c>
      <c r="D44">
        <v>2021</v>
      </c>
      <c r="E44" s="61">
        <v>2021</v>
      </c>
      <c r="F44" s="61">
        <v>0.3</v>
      </c>
    </row>
    <row r="45" spans="1:14" x14ac:dyDescent="0.25">
      <c r="A45">
        <v>4</v>
      </c>
      <c r="B45" t="str">
        <v>ESTACION CHARCOMANSO</v>
      </c>
      <c r="C45">
        <v>0.3</v>
      </c>
      <c r="D45">
        <v>2021</v>
      </c>
      <c r="E45" s="61">
        <v>2021</v>
      </c>
      <c r="F45" s="61">
        <v>0.1</v>
      </c>
    </row>
    <row r="46" spans="1:14" x14ac:dyDescent="0.25">
      <c r="A46">
        <v>4</v>
      </c>
      <c r="B46" t="str">
        <v>ESTACION CHARCOMANSO</v>
      </c>
      <c r="C46">
        <v>0.5</v>
      </c>
      <c r="D46">
        <v>2022</v>
      </c>
      <c r="E46" s="61">
        <v>2021</v>
      </c>
      <c r="F46" s="61">
        <v>0.34</v>
      </c>
    </row>
    <row r="47" spans="1:14" x14ac:dyDescent="0.25">
      <c r="A47">
        <v>4</v>
      </c>
      <c r="B47" t="str">
        <v>ESTACION CHARCOMANSO</v>
      </c>
      <c r="C47">
        <v>0.3</v>
      </c>
      <c r="D47">
        <v>2022</v>
      </c>
      <c r="E47" s="61">
        <v>2021</v>
      </c>
      <c r="F47" s="61">
        <v>0.3</v>
      </c>
    </row>
    <row r="48" spans="1:14" x14ac:dyDescent="0.25">
      <c r="A48">
        <v>4</v>
      </c>
      <c r="B48" t="str">
        <v>ESTACION CHARCOMANSO</v>
      </c>
      <c r="C48">
        <v>0.24</v>
      </c>
      <c r="D48">
        <v>2022</v>
      </c>
      <c r="E48" s="61">
        <v>2021</v>
      </c>
      <c r="F48" s="61">
        <v>0.5</v>
      </c>
    </row>
    <row r="49" spans="1:6" x14ac:dyDescent="0.25">
      <c r="A49">
        <v>4</v>
      </c>
      <c r="B49" t="str">
        <v>ESTACION CHARCOMANSO</v>
      </c>
      <c r="C49">
        <v>0.16</v>
      </c>
      <c r="D49">
        <v>2023</v>
      </c>
      <c r="E49" s="61">
        <v>2021</v>
      </c>
      <c r="F49" s="61">
        <v>0.18</v>
      </c>
    </row>
    <row r="50" spans="1:6" x14ac:dyDescent="0.25">
      <c r="A50">
        <v>4</v>
      </c>
      <c r="B50" t="str">
        <v>ESTACION CHARCOMANSO</v>
      </c>
      <c r="C50">
        <v>0.18</v>
      </c>
      <c r="D50">
        <v>2023</v>
      </c>
      <c r="E50" s="61">
        <v>2021</v>
      </c>
      <c r="F50" s="61">
        <v>0.3</v>
      </c>
    </row>
    <row r="51" spans="1:6" x14ac:dyDescent="0.25">
      <c r="A51">
        <v>4</v>
      </c>
      <c r="B51" t="str">
        <v>ESTACION CHARCOMANSO</v>
      </c>
      <c r="C51">
        <v>0.16</v>
      </c>
      <c r="D51">
        <v>2023</v>
      </c>
      <c r="E51" s="61">
        <v>2021</v>
      </c>
      <c r="F51" s="61">
        <v>0.2</v>
      </c>
    </row>
    <row r="52" spans="1:6" x14ac:dyDescent="0.25">
      <c r="A52">
        <v>6</v>
      </c>
      <c r="B52" t="str">
        <v>ESTACION BOCATOMA MUNICIPIO DE RIONEGRO</v>
      </c>
      <c r="C52">
        <v>0.26</v>
      </c>
      <c r="D52">
        <v>2024</v>
      </c>
      <c r="E52" s="61">
        <v>2021</v>
      </c>
      <c r="F52" s="61">
        <v>0.3</v>
      </c>
    </row>
    <row r="53" spans="1:6" x14ac:dyDescent="0.25">
      <c r="A53">
        <v>6</v>
      </c>
      <c r="B53" t="str">
        <v>ESTACION BOCATOMA MUNICIPIO DE RIONEGRO</v>
      </c>
      <c r="C53">
        <v>0.3</v>
      </c>
      <c r="D53">
        <v>2024</v>
      </c>
      <c r="E53" s="61">
        <v>2021</v>
      </c>
      <c r="F53" s="61">
        <v>0.4</v>
      </c>
    </row>
    <row r="54" spans="1:6" x14ac:dyDescent="0.25">
      <c r="A54">
        <v>6</v>
      </c>
      <c r="B54" t="str">
        <v>ESTACION BOCATOMA MUNICIPIO DE RIONEGRO</v>
      </c>
      <c r="C54">
        <v>1.7</v>
      </c>
      <c r="D54">
        <v>2024</v>
      </c>
      <c r="E54" s="61">
        <v>2021</v>
      </c>
      <c r="F54" s="61">
        <v>0.1</v>
      </c>
    </row>
    <row r="55" spans="1:6" x14ac:dyDescent="0.25">
      <c r="A55">
        <v>6</v>
      </c>
      <c r="B55" t="str">
        <v>ESTACION BOCATOMA MUNICIPIO DE RIONEGRO</v>
      </c>
      <c r="C55">
        <v>0.2</v>
      </c>
      <c r="D55">
        <v>2021</v>
      </c>
      <c r="E55" s="61">
        <v>2021</v>
      </c>
      <c r="F55" s="61">
        <v>0.3</v>
      </c>
    </row>
    <row r="56" spans="1:6" x14ac:dyDescent="0.25">
      <c r="A56">
        <v>6</v>
      </c>
      <c r="B56" t="str">
        <v>ESTACION BOCATOMA MUNICIPIO DE RIONEGRO</v>
      </c>
      <c r="C56">
        <v>0.1</v>
      </c>
      <c r="D56">
        <v>2019</v>
      </c>
      <c r="E56" s="61">
        <v>2021</v>
      </c>
      <c r="F56" s="61">
        <v>0.5</v>
      </c>
    </row>
    <row r="57" spans="1:6" x14ac:dyDescent="0.25">
      <c r="A57">
        <v>6</v>
      </c>
      <c r="B57" t="str">
        <v>ESTACION BOCATOMA MUNICIPIO DE RIONEGRO</v>
      </c>
      <c r="C57">
        <v>0.1</v>
      </c>
      <c r="D57">
        <v>2020</v>
      </c>
      <c r="E57" s="61">
        <v>2021</v>
      </c>
      <c r="F57" s="61">
        <v>0.4</v>
      </c>
    </row>
    <row r="58" spans="1:6" x14ac:dyDescent="0.25">
      <c r="A58">
        <v>6</v>
      </c>
      <c r="B58" t="str">
        <v>ESTACION BOCATOMA MUNICIPIO DE RIONEGRO</v>
      </c>
      <c r="C58">
        <v>0.2</v>
      </c>
      <c r="D58">
        <v>2020</v>
      </c>
      <c r="E58" s="61">
        <v>2021</v>
      </c>
      <c r="F58" s="61">
        <v>0.28000000000000003</v>
      </c>
    </row>
    <row r="59" spans="1:6" x14ac:dyDescent="0.25">
      <c r="A59">
        <v>6</v>
      </c>
      <c r="B59" t="str">
        <v>ESTACION BOCATOMA MUNICIPIO DE RIONEGRO</v>
      </c>
      <c r="C59">
        <v>0.3</v>
      </c>
      <c r="D59">
        <v>2020</v>
      </c>
      <c r="E59" s="61">
        <v>2021</v>
      </c>
      <c r="F59" s="61">
        <v>0.3</v>
      </c>
    </row>
    <row r="60" spans="1:6" x14ac:dyDescent="0.25">
      <c r="A60">
        <v>6</v>
      </c>
      <c r="B60" t="str">
        <v>ESTACION BOCATOMA MUNICIPIO DE RIONEGRO</v>
      </c>
      <c r="C60">
        <v>0.3</v>
      </c>
      <c r="D60">
        <v>2021</v>
      </c>
      <c r="E60" s="61">
        <v>2021</v>
      </c>
      <c r="F60" s="61">
        <v>0.5</v>
      </c>
    </row>
    <row r="61" spans="1:6" x14ac:dyDescent="0.25">
      <c r="A61">
        <v>6</v>
      </c>
      <c r="B61" t="str">
        <v>ESTACION BOCATOMA MUNICIPIO DE RIONEGRO</v>
      </c>
      <c r="C61">
        <v>0.4</v>
      </c>
      <c r="D61">
        <v>2021</v>
      </c>
      <c r="E61" s="61">
        <v>2021</v>
      </c>
      <c r="F61" s="61">
        <v>0.34</v>
      </c>
    </row>
    <row r="62" spans="1:6" x14ac:dyDescent="0.25">
      <c r="A62">
        <v>6</v>
      </c>
      <c r="B62" t="str">
        <v>ESTACION BOCATOMA MUNICIPIO DE RIONEGRO</v>
      </c>
      <c r="C62">
        <v>0.4</v>
      </c>
      <c r="D62">
        <v>2022</v>
      </c>
      <c r="E62" s="61">
        <v>2021</v>
      </c>
      <c r="F62" s="61">
        <v>0.4</v>
      </c>
    </row>
    <row r="63" spans="1:6" x14ac:dyDescent="0.25">
      <c r="A63">
        <v>6</v>
      </c>
      <c r="B63" t="str">
        <v>ESTACION BOCATOMA MUNICIPIO DE RIONEGRO</v>
      </c>
      <c r="C63">
        <v>0.2</v>
      </c>
      <c r="D63">
        <v>2022</v>
      </c>
      <c r="E63" s="61">
        <v>2021</v>
      </c>
      <c r="F63" s="61">
        <v>0.5</v>
      </c>
    </row>
    <row r="64" spans="1:6" x14ac:dyDescent="0.25">
      <c r="A64">
        <v>6</v>
      </c>
      <c r="B64" t="str">
        <v>ESTACION BOCATOMA MUNICIPIO DE RIONEGRO</v>
      </c>
      <c r="C64">
        <v>0.24</v>
      </c>
      <c r="D64">
        <v>2022</v>
      </c>
      <c r="E64" s="61">
        <v>2021</v>
      </c>
      <c r="F64" s="61">
        <v>0.94</v>
      </c>
    </row>
    <row r="65" spans="1:6" x14ac:dyDescent="0.25">
      <c r="A65">
        <v>6</v>
      </c>
      <c r="B65" t="str">
        <v>ESTACION BOCATOMA MUNICIPIO DE RIONEGRO</v>
      </c>
      <c r="C65">
        <v>0.2</v>
      </c>
      <c r="D65">
        <v>2023</v>
      </c>
      <c r="E65" s="61">
        <v>2021</v>
      </c>
      <c r="F65" s="61">
        <v>0.6</v>
      </c>
    </row>
    <row r="66" spans="1:6" x14ac:dyDescent="0.25">
      <c r="A66">
        <v>6</v>
      </c>
      <c r="B66" t="str">
        <v>ESTACION BOCATOMA MUNICIPIO DE RIONEGRO</v>
      </c>
      <c r="C66">
        <v>0.12</v>
      </c>
      <c r="D66">
        <v>2023</v>
      </c>
      <c r="E66" s="61">
        <v>2021</v>
      </c>
      <c r="F66" s="61">
        <v>0.3</v>
      </c>
    </row>
    <row r="67" spans="1:6" x14ac:dyDescent="0.25">
      <c r="A67">
        <v>6</v>
      </c>
      <c r="B67" t="str">
        <v>ESTACION BOCATOMA MUNICIPIO DE RIONEGRO</v>
      </c>
      <c r="C67">
        <v>0.1</v>
      </c>
      <c r="D67">
        <v>2023</v>
      </c>
      <c r="E67" s="61">
        <v>2021</v>
      </c>
      <c r="F67" s="61">
        <v>1.06</v>
      </c>
    </row>
    <row r="68" spans="1:6" x14ac:dyDescent="0.25">
      <c r="A68">
        <v>7</v>
      </c>
      <c r="B68" t="str">
        <v>ESTACION PUENTE REAL</v>
      </c>
      <c r="C68">
        <v>0.54</v>
      </c>
      <c r="D68">
        <v>2024</v>
      </c>
      <c r="E68" s="61">
        <v>2021</v>
      </c>
      <c r="F68" s="61">
        <v>0.3</v>
      </c>
    </row>
    <row r="69" spans="1:6" x14ac:dyDescent="0.25">
      <c r="A69">
        <v>7</v>
      </c>
      <c r="B69" t="str">
        <v>ESTACION PUENTE REAL</v>
      </c>
      <c r="C69">
        <v>0.3</v>
      </c>
      <c r="D69">
        <v>2024</v>
      </c>
      <c r="E69" s="61">
        <v>2021</v>
      </c>
      <c r="F69" s="61">
        <v>0.6</v>
      </c>
    </row>
    <row r="70" spans="1:6" x14ac:dyDescent="0.25">
      <c r="A70">
        <v>7</v>
      </c>
      <c r="B70" t="str">
        <v>ESTACION PUENTE REAL</v>
      </c>
      <c r="C70">
        <v>1.26</v>
      </c>
      <c r="D70">
        <v>2024</v>
      </c>
      <c r="E70" s="61">
        <v>2021</v>
      </c>
      <c r="F70" s="61">
        <v>0.57999999999999996</v>
      </c>
    </row>
    <row r="71" spans="1:6" x14ac:dyDescent="0.25">
      <c r="A71">
        <v>7</v>
      </c>
      <c r="B71" t="str">
        <v>ESTACION PUENTE REAL</v>
      </c>
      <c r="C71">
        <v>0.2</v>
      </c>
      <c r="D71">
        <v>2020</v>
      </c>
      <c r="E71" s="61">
        <v>2021</v>
      </c>
      <c r="F71" s="61">
        <v>0.4</v>
      </c>
    </row>
    <row r="72" spans="1:6" x14ac:dyDescent="0.25">
      <c r="A72">
        <v>7</v>
      </c>
      <c r="B72" t="str">
        <v>ESTACION PUENTE REAL</v>
      </c>
      <c r="C72">
        <v>0.4</v>
      </c>
      <c r="D72">
        <v>2020</v>
      </c>
      <c r="E72" s="61">
        <v>2022</v>
      </c>
      <c r="F72" s="61">
        <v>0.4</v>
      </c>
    </row>
    <row r="73" spans="1:6" x14ac:dyDescent="0.25">
      <c r="A73">
        <v>7</v>
      </c>
      <c r="B73" t="str">
        <v>ESTACION PUENTE REAL</v>
      </c>
      <c r="C73">
        <v>0.1</v>
      </c>
      <c r="D73">
        <v>2021</v>
      </c>
      <c r="E73" s="61">
        <v>2022</v>
      </c>
      <c r="F73" s="61">
        <v>0.3</v>
      </c>
    </row>
    <row r="74" spans="1:6" x14ac:dyDescent="0.25">
      <c r="A74">
        <v>7</v>
      </c>
      <c r="B74" t="str">
        <v>ESTACION PUENTE REAL</v>
      </c>
      <c r="C74">
        <v>0.1</v>
      </c>
      <c r="D74">
        <v>2019</v>
      </c>
      <c r="E74" s="61">
        <v>2022</v>
      </c>
      <c r="F74" s="61">
        <v>0.18</v>
      </c>
    </row>
    <row r="75" spans="1:6" x14ac:dyDescent="0.25">
      <c r="A75">
        <v>7</v>
      </c>
      <c r="B75" t="str">
        <v>ESTACION PUENTE REAL</v>
      </c>
      <c r="C75">
        <v>0.2</v>
      </c>
      <c r="D75">
        <v>2020</v>
      </c>
      <c r="E75" s="61">
        <v>2022</v>
      </c>
      <c r="F75" s="61">
        <v>0.4</v>
      </c>
    </row>
    <row r="76" spans="1:6" x14ac:dyDescent="0.25">
      <c r="A76">
        <v>7</v>
      </c>
      <c r="B76" t="str">
        <v>ESTACION PUENTE REAL</v>
      </c>
      <c r="C76">
        <v>0.3</v>
      </c>
      <c r="D76">
        <v>2021</v>
      </c>
      <c r="E76" s="61">
        <v>2022</v>
      </c>
      <c r="F76" s="61">
        <v>0.3</v>
      </c>
    </row>
    <row r="77" spans="1:6" x14ac:dyDescent="0.25">
      <c r="A77">
        <v>7</v>
      </c>
      <c r="B77" t="str">
        <v>ESTACION PUENTE REAL</v>
      </c>
      <c r="C77">
        <v>0.5</v>
      </c>
      <c r="D77">
        <v>2021</v>
      </c>
      <c r="E77" s="61">
        <v>2022</v>
      </c>
      <c r="F77" s="61">
        <v>0.22</v>
      </c>
    </row>
    <row r="78" spans="1:6" x14ac:dyDescent="0.25">
      <c r="A78">
        <v>7</v>
      </c>
      <c r="B78" t="str">
        <v>ESTACION PUENTE REAL</v>
      </c>
      <c r="C78">
        <v>0.4</v>
      </c>
      <c r="D78">
        <v>2022</v>
      </c>
      <c r="E78" s="61">
        <v>2022</v>
      </c>
      <c r="F78" s="61">
        <v>0.5</v>
      </c>
    </row>
    <row r="79" spans="1:6" x14ac:dyDescent="0.25">
      <c r="A79">
        <v>7</v>
      </c>
      <c r="B79" t="str">
        <v>ESTACION PUENTE REAL</v>
      </c>
      <c r="C79">
        <v>0.3</v>
      </c>
      <c r="D79">
        <v>2022</v>
      </c>
      <c r="E79" s="61">
        <v>2022</v>
      </c>
      <c r="F79" s="61">
        <v>0.3</v>
      </c>
    </row>
    <row r="80" spans="1:6" x14ac:dyDescent="0.25">
      <c r="A80">
        <v>7</v>
      </c>
      <c r="B80" t="str">
        <v>ESTACION PUENTE REAL</v>
      </c>
      <c r="C80">
        <v>0.4</v>
      </c>
      <c r="D80">
        <v>2022</v>
      </c>
      <c r="E80" s="61">
        <v>2022</v>
      </c>
      <c r="F80" s="61">
        <v>0.24</v>
      </c>
    </row>
    <row r="81" spans="1:6" x14ac:dyDescent="0.25">
      <c r="A81">
        <v>7</v>
      </c>
      <c r="B81" t="str">
        <v>ESTACION PUENTE REAL</v>
      </c>
      <c r="C81">
        <v>0.28000000000000003</v>
      </c>
      <c r="D81">
        <v>2023</v>
      </c>
      <c r="E81" s="61">
        <v>2022</v>
      </c>
      <c r="F81" s="61">
        <v>0.4</v>
      </c>
    </row>
    <row r="82" spans="1:6" x14ac:dyDescent="0.25">
      <c r="A82">
        <v>7</v>
      </c>
      <c r="B82" t="str">
        <v>ESTACION PUENTE REAL</v>
      </c>
      <c r="C82">
        <v>0.16</v>
      </c>
      <c r="D82">
        <v>2023</v>
      </c>
      <c r="E82" s="61">
        <v>2022</v>
      </c>
      <c r="F82" s="61">
        <v>0.2</v>
      </c>
    </row>
    <row r="83" spans="1:6" x14ac:dyDescent="0.25">
      <c r="A83">
        <v>7</v>
      </c>
      <c r="B83" t="str">
        <v>ESTACION PUENTE REAL</v>
      </c>
      <c r="C83">
        <v>0.08</v>
      </c>
      <c r="D83">
        <v>2023</v>
      </c>
      <c r="E83" s="61">
        <v>2022</v>
      </c>
      <c r="F83" s="61">
        <v>0.24</v>
      </c>
    </row>
    <row r="84" spans="1:6" x14ac:dyDescent="0.25">
      <c r="A84">
        <v>8</v>
      </c>
      <c r="B84" t="str">
        <v>ESTACION PUENTE ANTES DE LA EBAR EPRIO</v>
      </c>
      <c r="C84">
        <v>0.34</v>
      </c>
      <c r="D84">
        <v>2024</v>
      </c>
      <c r="E84" s="61">
        <v>2022</v>
      </c>
      <c r="F84" s="61">
        <v>0.4</v>
      </c>
    </row>
    <row r="85" spans="1:6" x14ac:dyDescent="0.25">
      <c r="A85">
        <v>8</v>
      </c>
      <c r="B85" t="str">
        <v>ESTACION PUENTE ANTES DE LA EBAR EPRIO</v>
      </c>
      <c r="C85">
        <v>0.3</v>
      </c>
      <c r="D85">
        <v>2024</v>
      </c>
      <c r="E85" s="61">
        <v>2022</v>
      </c>
      <c r="F85" s="61">
        <v>0.3</v>
      </c>
    </row>
    <row r="86" spans="1:6" x14ac:dyDescent="0.25">
      <c r="A86">
        <v>8</v>
      </c>
      <c r="B86" t="str">
        <v>ESTACION PUENTE ANTES DE LA EBAR EPRIO</v>
      </c>
      <c r="C86">
        <v>1.46</v>
      </c>
      <c r="D86">
        <v>2024</v>
      </c>
      <c r="E86" s="61">
        <v>2022</v>
      </c>
      <c r="F86" s="61">
        <v>0.4</v>
      </c>
    </row>
    <row r="87" spans="1:6" x14ac:dyDescent="0.25">
      <c r="A87">
        <v>8</v>
      </c>
      <c r="B87" t="str">
        <v>ESTACION PUENTE ANTES DE LA EBAR EPRIO</v>
      </c>
      <c r="C87">
        <v>0.2</v>
      </c>
      <c r="D87">
        <v>2020</v>
      </c>
      <c r="E87" s="61">
        <v>2022</v>
      </c>
      <c r="F87" s="61">
        <v>0.4</v>
      </c>
    </row>
    <row r="88" spans="1:6" x14ac:dyDescent="0.25">
      <c r="A88">
        <v>8</v>
      </c>
      <c r="B88" t="str">
        <v>ESTACION PUENTE ANTES DE LA EBAR EPRIO</v>
      </c>
      <c r="C88">
        <v>0.6</v>
      </c>
      <c r="D88">
        <v>2020</v>
      </c>
      <c r="E88" s="61">
        <v>2022</v>
      </c>
      <c r="F88" s="61">
        <v>0.4</v>
      </c>
    </row>
    <row r="89" spans="1:6" x14ac:dyDescent="0.25">
      <c r="A89">
        <v>8</v>
      </c>
      <c r="B89" t="str">
        <v>ESTACION PUENTE ANTES DE LA EBAR EPRIO</v>
      </c>
      <c r="C89">
        <v>0.4</v>
      </c>
      <c r="D89">
        <v>2021</v>
      </c>
      <c r="E89" s="61">
        <v>2022</v>
      </c>
      <c r="F89" s="61">
        <v>0.24</v>
      </c>
    </row>
    <row r="90" spans="1:6" x14ac:dyDescent="0.25">
      <c r="A90">
        <v>8</v>
      </c>
      <c r="B90" t="str">
        <v>ESTACION PUENTE ANTES DE LA EBAR EPRIO</v>
      </c>
      <c r="C90">
        <v>0.1</v>
      </c>
      <c r="D90">
        <v>2019</v>
      </c>
      <c r="E90" s="61">
        <v>2022</v>
      </c>
      <c r="F90" s="61">
        <v>0.4</v>
      </c>
    </row>
    <row r="91" spans="1:6" x14ac:dyDescent="0.25">
      <c r="A91">
        <v>8</v>
      </c>
      <c r="B91" t="str">
        <v>ESTACION PUENTE ANTES DE LA EBAR EPRIO</v>
      </c>
      <c r="C91">
        <v>0.1</v>
      </c>
      <c r="D91">
        <v>2020</v>
      </c>
      <c r="E91" s="61">
        <v>2022</v>
      </c>
      <c r="F91" s="61">
        <v>0.4</v>
      </c>
    </row>
    <row r="92" spans="1:6" x14ac:dyDescent="0.25">
      <c r="A92">
        <v>8</v>
      </c>
      <c r="B92" t="str">
        <v>ESTACION PUENTE ANTES DE LA EBAR EPRIO</v>
      </c>
      <c r="C92">
        <v>0.28000000000000003</v>
      </c>
      <c r="D92">
        <v>2021</v>
      </c>
      <c r="E92" s="61">
        <v>2022</v>
      </c>
      <c r="F92" s="61">
        <v>0.4</v>
      </c>
    </row>
    <row r="93" spans="1:6" x14ac:dyDescent="0.25">
      <c r="A93">
        <v>8</v>
      </c>
      <c r="B93" t="str">
        <v>ESTACION PUENTE ANTES DE LA EBAR EPRIO</v>
      </c>
      <c r="C93">
        <v>0.3</v>
      </c>
      <c r="D93">
        <v>2021</v>
      </c>
      <c r="E93" s="61">
        <v>2022</v>
      </c>
      <c r="F93" s="61">
        <v>0.4</v>
      </c>
    </row>
    <row r="94" spans="1:6" x14ac:dyDescent="0.25">
      <c r="A94">
        <v>8</v>
      </c>
      <c r="B94" t="str">
        <v>ESTACION PUENTE ANTES DE LA EBAR EPRIO</v>
      </c>
      <c r="C94">
        <v>0.4</v>
      </c>
      <c r="D94">
        <v>2022</v>
      </c>
      <c r="E94" s="61">
        <v>2022</v>
      </c>
      <c r="F94" s="61">
        <v>0.2</v>
      </c>
    </row>
    <row r="95" spans="1:6" x14ac:dyDescent="0.25">
      <c r="A95">
        <v>8</v>
      </c>
      <c r="B95" t="str">
        <v>ESTACION PUENTE ANTES DE LA EBAR EPRIO</v>
      </c>
      <c r="C95">
        <v>0.4</v>
      </c>
      <c r="D95">
        <v>2022</v>
      </c>
      <c r="E95" s="61">
        <v>2022</v>
      </c>
      <c r="F95" s="61">
        <v>0.98</v>
      </c>
    </row>
    <row r="96" spans="1:6" x14ac:dyDescent="0.25">
      <c r="A96">
        <v>8</v>
      </c>
      <c r="B96" t="str">
        <v>ESTACION PUENTE ANTES DE LA EBAR EPRIO</v>
      </c>
      <c r="C96">
        <v>0.24</v>
      </c>
      <c r="D96">
        <v>2022</v>
      </c>
      <c r="E96" s="61">
        <v>2022</v>
      </c>
      <c r="F96" s="61">
        <v>0.4</v>
      </c>
    </row>
    <row r="97" spans="1:6" x14ac:dyDescent="0.25">
      <c r="A97">
        <v>8</v>
      </c>
      <c r="B97" t="str">
        <v>ESTACION PUENTE ANTES DE LA EBAR EPRIO</v>
      </c>
      <c r="C97">
        <v>0.38</v>
      </c>
      <c r="D97">
        <v>2023</v>
      </c>
      <c r="E97" s="61">
        <v>2022</v>
      </c>
      <c r="F97" s="61">
        <v>0.3</v>
      </c>
    </row>
    <row r="98" spans="1:6" x14ac:dyDescent="0.25">
      <c r="A98">
        <v>8</v>
      </c>
      <c r="B98" t="str">
        <v>ESTACION PUENTE ANTES DE LA EBAR EPRIO</v>
      </c>
      <c r="C98">
        <v>0.22</v>
      </c>
      <c r="D98">
        <v>2023</v>
      </c>
      <c r="E98" s="61">
        <v>2022</v>
      </c>
      <c r="F98" s="61">
        <v>0.34</v>
      </c>
    </row>
    <row r="99" spans="1:6" x14ac:dyDescent="0.25">
      <c r="A99">
        <v>8</v>
      </c>
      <c r="B99" t="str">
        <v>ESTACION PUENTE ANTES DE LA EBAR EPRIO</v>
      </c>
      <c r="C99">
        <v>0.08</v>
      </c>
      <c r="D99">
        <v>2023</v>
      </c>
      <c r="E99" s="61">
        <v>2022</v>
      </c>
      <c r="F99" s="61">
        <v>0.4</v>
      </c>
    </row>
    <row r="100" spans="1:6" x14ac:dyDescent="0.25">
      <c r="A100">
        <v>9</v>
      </c>
      <c r="B100" t="str">
        <v>ESTACION DESPUES DE LA DESCARGA DE LA PTARD MUNICIPIO DE RIONEGRO</v>
      </c>
      <c r="C100">
        <v>1.38</v>
      </c>
      <c r="D100">
        <v>2024</v>
      </c>
      <c r="E100" s="61">
        <v>2022</v>
      </c>
      <c r="F100" s="61">
        <v>0.3</v>
      </c>
    </row>
    <row r="101" spans="1:6" x14ac:dyDescent="0.25">
      <c r="A101">
        <v>9</v>
      </c>
      <c r="B101" t="str">
        <v>ESTACION DESPUES DE LA DESCARGA DE LA PTARD MUNICIPIO DE RIONEGRO</v>
      </c>
      <c r="C101">
        <v>0.4</v>
      </c>
      <c r="D101">
        <v>2024</v>
      </c>
      <c r="E101" s="61">
        <v>2022</v>
      </c>
      <c r="F101" s="61">
        <v>0.38</v>
      </c>
    </row>
    <row r="102" spans="1:6" x14ac:dyDescent="0.25">
      <c r="A102">
        <v>9</v>
      </c>
      <c r="B102" t="str">
        <v>ESTACION DESPUES DE LA DESCARGA DE LA PTARD MUNICIPIO DE RIONEGRO</v>
      </c>
      <c r="C102">
        <v>1.3</v>
      </c>
      <c r="D102">
        <v>2024</v>
      </c>
      <c r="E102" s="61">
        <v>2023</v>
      </c>
      <c r="F102" s="61">
        <v>0.16</v>
      </c>
    </row>
    <row r="103" spans="1:6" x14ac:dyDescent="0.25">
      <c r="A103">
        <v>9</v>
      </c>
      <c r="B103" t="str">
        <v>ESTACION DESPUES DE LA DESCARGA DE LA PTARD MUNICIPIO DE RIONEGRO</v>
      </c>
      <c r="C103">
        <v>0.5</v>
      </c>
      <c r="D103">
        <v>2021</v>
      </c>
      <c r="E103" s="61">
        <v>2023</v>
      </c>
      <c r="F103" s="61">
        <v>0.1</v>
      </c>
    </row>
    <row r="104" spans="1:6" x14ac:dyDescent="0.25">
      <c r="A104">
        <v>9</v>
      </c>
      <c r="B104" t="str">
        <v>ESTACION DESPUES DE LA DESCARGA DE LA PTARD MUNICIPIO DE RIONEGRO</v>
      </c>
      <c r="C104">
        <v>0.1</v>
      </c>
      <c r="D104">
        <v>2019</v>
      </c>
      <c r="E104" s="61">
        <v>2023</v>
      </c>
      <c r="F104" s="61">
        <v>0.18</v>
      </c>
    </row>
    <row r="105" spans="1:6" x14ac:dyDescent="0.25">
      <c r="A105">
        <v>9</v>
      </c>
      <c r="B105" t="str">
        <v>ESTACION DESPUES DE LA DESCARGA DE LA PTARD MUNICIPIO DE RIONEGRO</v>
      </c>
      <c r="C105">
        <v>0.8</v>
      </c>
      <c r="D105">
        <v>2020</v>
      </c>
      <c r="E105" s="61">
        <v>2023</v>
      </c>
      <c r="F105" s="61">
        <v>0.14000000000000001</v>
      </c>
    </row>
    <row r="106" spans="1:6" x14ac:dyDescent="0.25">
      <c r="A106">
        <v>9</v>
      </c>
      <c r="B106" t="str">
        <v>ESTACION DESPUES DE LA DESCARGA DE LA PTARD MUNICIPIO DE RIONEGRO</v>
      </c>
      <c r="C106">
        <v>0.4</v>
      </c>
      <c r="D106">
        <v>2020</v>
      </c>
      <c r="E106" s="61">
        <v>2023</v>
      </c>
      <c r="F106" s="61">
        <v>0.1</v>
      </c>
    </row>
    <row r="107" spans="1:6" x14ac:dyDescent="0.25">
      <c r="A107">
        <v>9</v>
      </c>
      <c r="B107" t="str">
        <v>ESTACION DESPUES DE LA DESCARGA DE LA PTARD MUNICIPIO DE RIONEGRO</v>
      </c>
      <c r="C107">
        <v>0.34</v>
      </c>
      <c r="D107">
        <v>2021</v>
      </c>
      <c r="E107" s="61">
        <v>2023</v>
      </c>
      <c r="F107" s="61">
        <v>0.16</v>
      </c>
    </row>
    <row r="108" spans="1:6" x14ac:dyDescent="0.25">
      <c r="A108">
        <v>9</v>
      </c>
      <c r="B108" t="str">
        <v>ESTACION DESPUES DE LA DESCARGA DE LA PTARD MUNICIPIO DE RIONEGRO</v>
      </c>
      <c r="C108">
        <v>0.4</v>
      </c>
      <c r="D108">
        <v>2021</v>
      </c>
      <c r="E108" s="61">
        <v>2023</v>
      </c>
      <c r="F108" s="61">
        <v>0.16</v>
      </c>
    </row>
    <row r="109" spans="1:6" x14ac:dyDescent="0.25">
      <c r="A109">
        <v>9</v>
      </c>
      <c r="B109" t="str">
        <v>ESTACION DESPUES DE LA DESCARGA DE LA PTARD MUNICIPIO DE RIONEGRO</v>
      </c>
      <c r="C109">
        <v>0.4</v>
      </c>
      <c r="D109">
        <v>2022</v>
      </c>
      <c r="E109" s="61">
        <v>2023</v>
      </c>
      <c r="F109" s="61">
        <v>0.18</v>
      </c>
    </row>
    <row r="110" spans="1:6" x14ac:dyDescent="0.25">
      <c r="A110">
        <v>9</v>
      </c>
      <c r="B110" t="str">
        <v>ESTACION DESPUES DE LA DESCARGA DE LA PTARD MUNICIPIO DE RIONEGRO</v>
      </c>
      <c r="C110">
        <v>0.4</v>
      </c>
      <c r="D110">
        <v>2022</v>
      </c>
      <c r="E110" s="61">
        <v>2023</v>
      </c>
      <c r="F110" s="61">
        <v>0.16</v>
      </c>
    </row>
    <row r="111" spans="1:6" x14ac:dyDescent="0.25">
      <c r="A111">
        <v>9</v>
      </c>
      <c r="B111" t="str">
        <v>ESTACION DESPUES DE LA DESCARGA DE LA PTARD MUNICIPIO DE RIONEGRO</v>
      </c>
      <c r="C111">
        <v>0.4</v>
      </c>
      <c r="D111">
        <v>2022</v>
      </c>
      <c r="E111" s="61">
        <v>2023</v>
      </c>
      <c r="F111" s="61">
        <v>0.2</v>
      </c>
    </row>
    <row r="112" spans="1:6" x14ac:dyDescent="0.25">
      <c r="A112">
        <v>9</v>
      </c>
      <c r="B112" t="str">
        <v>ESTACION DESPUES DE LA DESCARGA DE LA PTARD MUNICIPIO DE RIONEGRO</v>
      </c>
      <c r="C112">
        <v>0.78</v>
      </c>
      <c r="D112">
        <v>2023</v>
      </c>
      <c r="E112" s="61">
        <v>2023</v>
      </c>
      <c r="F112" s="61">
        <v>0.12</v>
      </c>
    </row>
    <row r="113" spans="1:6" x14ac:dyDescent="0.25">
      <c r="A113">
        <v>9</v>
      </c>
      <c r="B113" t="str">
        <v>ESTACION DESPUES DE LA DESCARGA DE LA PTARD MUNICIPIO DE RIONEGRO</v>
      </c>
      <c r="C113">
        <v>0.3</v>
      </c>
      <c r="D113">
        <v>2023</v>
      </c>
      <c r="E113" s="61">
        <v>2023</v>
      </c>
      <c r="F113" s="61">
        <v>0.1</v>
      </c>
    </row>
    <row r="114" spans="1:6" x14ac:dyDescent="0.25">
      <c r="A114">
        <v>9</v>
      </c>
      <c r="B114" t="str">
        <v>ESTACION DESPUES DE LA DESCARGA DE LA PTARD MUNICIPIO DE RIONEGRO</v>
      </c>
      <c r="C114">
        <v>0.12</v>
      </c>
      <c r="D114">
        <v>2023</v>
      </c>
      <c r="E114" s="61">
        <v>2023</v>
      </c>
      <c r="F114" s="61">
        <v>0.28000000000000003</v>
      </c>
    </row>
    <row r="115" spans="1:6" x14ac:dyDescent="0.25">
      <c r="A115">
        <v>10</v>
      </c>
      <c r="B115" t="str">
        <v>ESTACION PUENTE AUTOPISTA</v>
      </c>
      <c r="C115">
        <v>1.02</v>
      </c>
      <c r="D115">
        <v>2024</v>
      </c>
      <c r="E115" s="61">
        <v>2023</v>
      </c>
      <c r="F115" s="61">
        <v>0.16</v>
      </c>
    </row>
    <row r="116" spans="1:6" x14ac:dyDescent="0.25">
      <c r="A116">
        <v>10</v>
      </c>
      <c r="B116" t="str">
        <v>ESTACION PUENTE AUTOPISTA</v>
      </c>
      <c r="C116">
        <v>0.42</v>
      </c>
      <c r="D116">
        <v>2024</v>
      </c>
      <c r="E116" s="61">
        <v>2023</v>
      </c>
      <c r="F116" s="61">
        <v>0.08</v>
      </c>
    </row>
    <row r="117" spans="1:6" x14ac:dyDescent="0.25">
      <c r="A117">
        <v>10</v>
      </c>
      <c r="B117" t="str">
        <v>ESTACION PUENTE AUTOPISTA</v>
      </c>
      <c r="C117">
        <v>0.36</v>
      </c>
      <c r="D117">
        <v>2024</v>
      </c>
      <c r="E117" s="61">
        <v>2023</v>
      </c>
      <c r="F117" s="61">
        <v>0.38</v>
      </c>
    </row>
    <row r="118" spans="1:6" x14ac:dyDescent="0.25">
      <c r="A118">
        <v>10</v>
      </c>
      <c r="B118" t="str">
        <v>ESTACION PUENTE AUTOPISTA</v>
      </c>
      <c r="C118">
        <v>0.5</v>
      </c>
      <c r="D118">
        <v>2021</v>
      </c>
      <c r="E118" s="61">
        <v>2023</v>
      </c>
      <c r="F118" s="61">
        <v>0.22</v>
      </c>
    </row>
    <row r="119" spans="1:6" x14ac:dyDescent="0.25">
      <c r="A119">
        <v>10</v>
      </c>
      <c r="B119" t="str">
        <v>ESTACION PUENTE AUTOPISTA</v>
      </c>
      <c r="C119">
        <v>0.2</v>
      </c>
      <c r="D119">
        <v>2019</v>
      </c>
      <c r="E119" s="61">
        <v>2023</v>
      </c>
      <c r="F119" s="61">
        <v>0.08</v>
      </c>
    </row>
    <row r="120" spans="1:6" x14ac:dyDescent="0.25">
      <c r="A120">
        <v>10</v>
      </c>
      <c r="B120" t="str">
        <v>ESTACION PUENTE AUTOPISTA</v>
      </c>
      <c r="C120">
        <v>0.7</v>
      </c>
      <c r="D120">
        <v>2020</v>
      </c>
      <c r="E120" s="61">
        <v>2023</v>
      </c>
      <c r="F120" s="61">
        <v>0.78</v>
      </c>
    </row>
    <row r="121" spans="1:6" x14ac:dyDescent="0.25">
      <c r="A121">
        <v>10</v>
      </c>
      <c r="B121" t="str">
        <v>ESTACION PUENTE AUTOPISTA</v>
      </c>
      <c r="C121">
        <v>0.3</v>
      </c>
      <c r="D121">
        <v>2020</v>
      </c>
      <c r="E121" s="61">
        <v>2023</v>
      </c>
      <c r="F121" s="61">
        <v>0.3</v>
      </c>
    </row>
    <row r="122" spans="1:6" x14ac:dyDescent="0.25">
      <c r="A122">
        <v>10</v>
      </c>
      <c r="B122" t="str">
        <v>ESTACION PUENTE AUTOPISTA</v>
      </c>
      <c r="C122">
        <v>0.4</v>
      </c>
      <c r="D122">
        <v>2020</v>
      </c>
      <c r="E122" s="61">
        <v>2023</v>
      </c>
      <c r="F122" s="61">
        <v>0.12</v>
      </c>
    </row>
    <row r="123" spans="1:6" x14ac:dyDescent="0.25">
      <c r="A123">
        <v>10</v>
      </c>
      <c r="B123" t="str">
        <v>ESTACION PUENTE AUTOPISTA</v>
      </c>
      <c r="C123">
        <v>0.94</v>
      </c>
      <c r="D123">
        <v>2021</v>
      </c>
      <c r="E123" s="61">
        <v>2023</v>
      </c>
      <c r="F123" s="61">
        <v>0.94</v>
      </c>
    </row>
    <row r="124" spans="1:6" x14ac:dyDescent="0.25">
      <c r="A124">
        <v>10</v>
      </c>
      <c r="B124" t="str">
        <v>ESTACION PUENTE AUTOPISTA</v>
      </c>
      <c r="C124">
        <v>0.6</v>
      </c>
      <c r="D124">
        <v>2021</v>
      </c>
      <c r="E124" s="61">
        <v>2023</v>
      </c>
      <c r="F124" s="61">
        <v>0.57999999999999996</v>
      </c>
    </row>
    <row r="125" spans="1:6" x14ac:dyDescent="0.25">
      <c r="A125">
        <v>10</v>
      </c>
      <c r="B125" t="str">
        <v>ESTACION PUENTE AUTOPISTA</v>
      </c>
      <c r="C125">
        <v>0.4</v>
      </c>
      <c r="D125">
        <v>2022</v>
      </c>
      <c r="E125" s="61">
        <v>2023</v>
      </c>
      <c r="F125" s="61">
        <v>0.16</v>
      </c>
    </row>
    <row r="126" spans="1:6" x14ac:dyDescent="0.25">
      <c r="A126">
        <v>10</v>
      </c>
      <c r="B126" t="str">
        <v>ESTACION PUENTE AUTOPISTA</v>
      </c>
      <c r="C126">
        <v>0.2</v>
      </c>
      <c r="D126">
        <v>2022</v>
      </c>
      <c r="E126" s="61">
        <v>2023</v>
      </c>
      <c r="F126" s="61">
        <v>0.72</v>
      </c>
    </row>
    <row r="127" spans="1:6" x14ac:dyDescent="0.25">
      <c r="A127">
        <v>10</v>
      </c>
      <c r="B127" t="str">
        <v>ESTACION PUENTE AUTOPISTA</v>
      </c>
      <c r="C127">
        <v>0.98</v>
      </c>
      <c r="D127">
        <v>2022</v>
      </c>
      <c r="E127" s="61">
        <v>2023</v>
      </c>
      <c r="F127" s="61">
        <v>0.4</v>
      </c>
    </row>
    <row r="128" spans="1:6" x14ac:dyDescent="0.25">
      <c r="A128">
        <v>10</v>
      </c>
      <c r="B128" t="str">
        <v>ESTACION PUENTE AUTOPISTA</v>
      </c>
      <c r="C128">
        <v>0.94</v>
      </c>
      <c r="D128">
        <v>2023</v>
      </c>
      <c r="E128" s="61">
        <v>2023</v>
      </c>
      <c r="F128" s="61">
        <v>0.12</v>
      </c>
    </row>
    <row r="129" spans="1:6" x14ac:dyDescent="0.25">
      <c r="A129">
        <v>10</v>
      </c>
      <c r="B129" t="str">
        <v>ESTACION PUENTE AUTOPISTA</v>
      </c>
      <c r="C129">
        <v>0.57999999999999996</v>
      </c>
      <c r="D129">
        <v>2023</v>
      </c>
      <c r="E129" s="61">
        <v>2023</v>
      </c>
      <c r="F129" s="61">
        <v>0.5</v>
      </c>
    </row>
    <row r="130" spans="1:6" x14ac:dyDescent="0.25">
      <c r="A130">
        <v>10</v>
      </c>
      <c r="B130" t="str">
        <v>ESTACION PUENTE AUTOPISTA</v>
      </c>
      <c r="C130">
        <v>0.16</v>
      </c>
      <c r="D130">
        <v>2023</v>
      </c>
      <c r="E130" s="61">
        <v>2023</v>
      </c>
      <c r="F130" s="61">
        <v>0.36</v>
      </c>
    </row>
    <row r="131" spans="1:6" x14ac:dyDescent="0.25">
      <c r="A131">
        <v>11</v>
      </c>
      <c r="B131" t="str">
        <v>ESTACION LA FRESERA</v>
      </c>
      <c r="C131">
        <v>0.46</v>
      </c>
      <c r="D131">
        <v>2024</v>
      </c>
      <c r="E131" s="61">
        <v>2023</v>
      </c>
      <c r="F131" s="61">
        <v>0.08</v>
      </c>
    </row>
    <row r="132" spans="1:6" x14ac:dyDescent="0.25">
      <c r="A132">
        <v>11</v>
      </c>
      <c r="B132" t="str">
        <v>ESTACION LA FRESERA</v>
      </c>
      <c r="C132">
        <v>1.22</v>
      </c>
      <c r="D132">
        <v>2024</v>
      </c>
      <c r="E132" s="61">
        <v>2024</v>
      </c>
      <c r="F132" s="61">
        <v>0.54</v>
      </c>
    </row>
    <row r="133" spans="1:6" x14ac:dyDescent="0.25">
      <c r="A133">
        <v>11</v>
      </c>
      <c r="B133" t="str">
        <v>ESTACION LA FRESERA</v>
      </c>
      <c r="C133">
        <v>0.66</v>
      </c>
      <c r="D133">
        <v>2024</v>
      </c>
      <c r="E133" s="61">
        <v>2024</v>
      </c>
      <c r="F133" s="61">
        <v>0.34</v>
      </c>
    </row>
    <row r="134" spans="1:6" x14ac:dyDescent="0.25">
      <c r="A134">
        <v>11</v>
      </c>
      <c r="B134" t="str">
        <v>ESTACION LA FRESERA</v>
      </c>
      <c r="C134">
        <v>0.3</v>
      </c>
      <c r="D134">
        <v>2020</v>
      </c>
      <c r="E134" s="61">
        <v>2024</v>
      </c>
      <c r="F134" s="61">
        <v>0.32</v>
      </c>
    </row>
    <row r="135" spans="1:6" x14ac:dyDescent="0.25">
      <c r="A135">
        <v>11</v>
      </c>
      <c r="B135" t="str">
        <v>ESTACION LA FRESERA</v>
      </c>
      <c r="C135">
        <v>0.4</v>
      </c>
      <c r="D135">
        <v>2020</v>
      </c>
      <c r="E135" s="61">
        <v>2024</v>
      </c>
      <c r="F135" s="61">
        <v>0.22</v>
      </c>
    </row>
    <row r="136" spans="1:6" x14ac:dyDescent="0.25">
      <c r="A136">
        <v>11</v>
      </c>
      <c r="B136" t="str">
        <v>ESTACION LA FRESERA</v>
      </c>
      <c r="C136">
        <v>0.3</v>
      </c>
      <c r="D136">
        <v>2021</v>
      </c>
      <c r="E136" s="61">
        <v>2024</v>
      </c>
      <c r="F136" s="61">
        <v>0.26</v>
      </c>
    </row>
    <row r="137" spans="1:6" x14ac:dyDescent="0.25">
      <c r="A137">
        <v>11</v>
      </c>
      <c r="B137" t="str">
        <v>ESTACION LA FRESERA</v>
      </c>
      <c r="C137">
        <v>0.3</v>
      </c>
      <c r="D137">
        <v>2019</v>
      </c>
      <c r="E137" s="61">
        <v>2024</v>
      </c>
      <c r="F137" s="61">
        <v>1.78</v>
      </c>
    </row>
    <row r="138" spans="1:6" x14ac:dyDescent="0.25">
      <c r="A138">
        <v>11</v>
      </c>
      <c r="B138" t="str">
        <v>ESTACION LA FRESERA</v>
      </c>
      <c r="C138">
        <v>0.8</v>
      </c>
      <c r="D138">
        <v>2020</v>
      </c>
      <c r="E138" s="61">
        <v>2024</v>
      </c>
      <c r="F138" s="61">
        <v>0.4</v>
      </c>
    </row>
    <row r="139" spans="1:6" x14ac:dyDescent="0.25">
      <c r="A139">
        <v>11</v>
      </c>
      <c r="B139" t="str">
        <v>ESTACION LA FRESERA</v>
      </c>
      <c r="C139">
        <v>1.06</v>
      </c>
      <c r="D139">
        <v>2021</v>
      </c>
      <c r="E139" s="61">
        <v>2024</v>
      </c>
      <c r="F139" s="61">
        <v>0.3</v>
      </c>
    </row>
    <row r="140" spans="1:6" x14ac:dyDescent="0.25">
      <c r="A140">
        <v>11</v>
      </c>
      <c r="B140" t="str">
        <v>ESTACION LA FRESERA</v>
      </c>
      <c r="C140">
        <v>0.3</v>
      </c>
      <c r="D140">
        <v>2021</v>
      </c>
      <c r="E140" s="61">
        <v>2024</v>
      </c>
      <c r="F140" s="61">
        <v>1.38</v>
      </c>
    </row>
    <row r="141" spans="1:6" x14ac:dyDescent="0.25">
      <c r="A141">
        <v>11</v>
      </c>
      <c r="B141" t="str">
        <v>ESTACION LA FRESERA</v>
      </c>
      <c r="C141">
        <v>0.4</v>
      </c>
      <c r="D141">
        <v>2022</v>
      </c>
      <c r="E141" s="61">
        <v>2024</v>
      </c>
      <c r="F141" s="61">
        <v>0.26</v>
      </c>
    </row>
    <row r="142" spans="1:6" x14ac:dyDescent="0.25">
      <c r="A142">
        <v>11</v>
      </c>
      <c r="B142" t="str">
        <v>ESTACION LA FRESERA</v>
      </c>
      <c r="C142">
        <v>0.3</v>
      </c>
      <c r="D142">
        <v>2022</v>
      </c>
      <c r="E142" s="61">
        <v>2024</v>
      </c>
      <c r="F142" s="61">
        <v>0.3</v>
      </c>
    </row>
    <row r="143" spans="1:6" x14ac:dyDescent="0.25">
      <c r="A143">
        <v>11</v>
      </c>
      <c r="B143" t="str">
        <v>ESTACION LA FRESERA</v>
      </c>
      <c r="C143">
        <v>0.34</v>
      </c>
      <c r="D143">
        <v>2022</v>
      </c>
      <c r="E143" s="61">
        <v>2024</v>
      </c>
      <c r="F143" s="61">
        <v>1.7</v>
      </c>
    </row>
    <row r="144" spans="1:6" x14ac:dyDescent="0.25">
      <c r="A144">
        <v>11</v>
      </c>
      <c r="B144" t="str">
        <v>ESTACION LA FRESERA</v>
      </c>
      <c r="C144">
        <v>0.72</v>
      </c>
      <c r="D144">
        <v>2023</v>
      </c>
      <c r="E144" s="61">
        <v>2024</v>
      </c>
      <c r="F144" s="61">
        <v>0.54</v>
      </c>
    </row>
    <row r="145" spans="1:6" x14ac:dyDescent="0.25">
      <c r="A145">
        <v>11</v>
      </c>
      <c r="B145" t="str">
        <v>ESTACION LA FRESERA</v>
      </c>
      <c r="C145">
        <v>0.4</v>
      </c>
      <c r="D145">
        <v>2023</v>
      </c>
      <c r="E145" s="61">
        <v>2024</v>
      </c>
      <c r="F145" s="61">
        <v>0.3</v>
      </c>
    </row>
    <row r="146" spans="1:6" x14ac:dyDescent="0.25">
      <c r="A146">
        <v>11</v>
      </c>
      <c r="B146" t="str">
        <v>ESTACION LA FRESERA</v>
      </c>
      <c r="C146">
        <v>0.12</v>
      </c>
      <c r="D146">
        <v>2023</v>
      </c>
      <c r="E146" s="61">
        <v>2024</v>
      </c>
      <c r="F146" s="61">
        <v>1.26</v>
      </c>
    </row>
    <row r="147" spans="1:6" x14ac:dyDescent="0.25">
      <c r="A147">
        <v>12</v>
      </c>
      <c r="B147" t="str">
        <v>ESTACION RIO ABAJO</v>
      </c>
      <c r="C147">
        <v>0.38</v>
      </c>
      <c r="D147">
        <v>2024</v>
      </c>
      <c r="E147" s="61">
        <v>2024</v>
      </c>
      <c r="F147" s="61">
        <v>0.34</v>
      </c>
    </row>
    <row r="148" spans="1:6" x14ac:dyDescent="0.25">
      <c r="A148">
        <v>12</v>
      </c>
      <c r="B148" t="str">
        <v>ESTACION RIO ABAJO</v>
      </c>
      <c r="C148">
        <v>0.46</v>
      </c>
      <c r="D148">
        <v>2024</v>
      </c>
      <c r="E148" s="61">
        <v>2024</v>
      </c>
      <c r="F148" s="61">
        <v>0.3</v>
      </c>
    </row>
    <row r="149" spans="1:6" x14ac:dyDescent="0.25">
      <c r="A149">
        <v>12</v>
      </c>
      <c r="B149" t="str">
        <v>ESTACION RIO ABAJO</v>
      </c>
      <c r="C149">
        <v>0.74</v>
      </c>
      <c r="D149">
        <v>2024</v>
      </c>
      <c r="E149" s="61">
        <v>2024</v>
      </c>
      <c r="F149" s="61">
        <v>1.46</v>
      </c>
    </row>
    <row r="150" spans="1:6" x14ac:dyDescent="0.25">
      <c r="A150">
        <v>12</v>
      </c>
      <c r="B150" t="str">
        <v>ESTACION RIO ABAJO</v>
      </c>
      <c r="C150">
        <v>0.4</v>
      </c>
      <c r="D150">
        <v>2020</v>
      </c>
      <c r="E150" s="61">
        <v>2024</v>
      </c>
      <c r="F150" s="61">
        <v>1.38</v>
      </c>
    </row>
    <row r="151" spans="1:6" x14ac:dyDescent="0.25">
      <c r="A151">
        <v>12</v>
      </c>
      <c r="B151" t="str">
        <v>ESTACION RIO ABAJO</v>
      </c>
      <c r="C151">
        <v>0.6</v>
      </c>
      <c r="D151">
        <v>2021</v>
      </c>
      <c r="E151" s="61">
        <v>2024</v>
      </c>
      <c r="F151" s="61">
        <v>0.4</v>
      </c>
    </row>
    <row r="152" spans="1:6" x14ac:dyDescent="0.25">
      <c r="A152">
        <v>12</v>
      </c>
      <c r="B152" t="str">
        <v>ESTACION RIO ABAJO</v>
      </c>
      <c r="C152">
        <v>0.1</v>
      </c>
      <c r="D152">
        <v>2019</v>
      </c>
      <c r="E152" s="61">
        <v>2024</v>
      </c>
      <c r="F152" s="61">
        <v>1.3</v>
      </c>
    </row>
    <row r="153" spans="1:6" x14ac:dyDescent="0.25">
      <c r="A153">
        <v>12</v>
      </c>
      <c r="B153" t="str">
        <v>ESTACION RIO ABAJO</v>
      </c>
      <c r="C153">
        <v>0.6</v>
      </c>
      <c r="D153">
        <v>2020</v>
      </c>
      <c r="E153" s="61">
        <v>2024</v>
      </c>
      <c r="F153" s="61">
        <v>1.02</v>
      </c>
    </row>
    <row r="154" spans="1:6" x14ac:dyDescent="0.25">
      <c r="A154">
        <v>12</v>
      </c>
      <c r="B154" t="str">
        <v>ESTACION RIO ABAJO</v>
      </c>
      <c r="C154">
        <v>0.57999999999999996</v>
      </c>
      <c r="D154">
        <v>2021</v>
      </c>
      <c r="E154" s="61">
        <v>2024</v>
      </c>
      <c r="F154" s="61">
        <v>0.42</v>
      </c>
    </row>
    <row r="155" spans="1:6" x14ac:dyDescent="0.25">
      <c r="A155">
        <v>12</v>
      </c>
      <c r="B155" t="str">
        <v>ESTACION RIO ABAJO</v>
      </c>
      <c r="C155">
        <v>0.4</v>
      </c>
      <c r="D155">
        <v>2021</v>
      </c>
      <c r="E155" s="61">
        <v>2024</v>
      </c>
      <c r="F155" s="61">
        <v>0.36</v>
      </c>
    </row>
    <row r="156" spans="1:6" x14ac:dyDescent="0.25">
      <c r="A156">
        <v>12</v>
      </c>
      <c r="B156" t="str">
        <v>ESTACION RIO ABAJO</v>
      </c>
      <c r="C156">
        <v>0.4</v>
      </c>
      <c r="D156">
        <v>2022</v>
      </c>
      <c r="E156" s="61">
        <v>2024</v>
      </c>
      <c r="F156" s="61">
        <v>0.46</v>
      </c>
    </row>
    <row r="157" spans="1:6" x14ac:dyDescent="0.25">
      <c r="A157">
        <v>12</v>
      </c>
      <c r="B157" t="str">
        <v>ESTACION RIO ABAJO</v>
      </c>
      <c r="C157">
        <v>0.3</v>
      </c>
      <c r="D157">
        <v>2022</v>
      </c>
      <c r="E157" s="61">
        <v>2024</v>
      </c>
      <c r="F157" s="61">
        <v>1.22</v>
      </c>
    </row>
    <row r="158" spans="1:6" x14ac:dyDescent="0.25">
      <c r="A158">
        <v>12</v>
      </c>
      <c r="B158" t="str">
        <v>ESTACION RIO ABAJO</v>
      </c>
      <c r="C158">
        <v>0.38</v>
      </c>
      <c r="D158">
        <v>2022</v>
      </c>
      <c r="E158" s="61">
        <v>2024</v>
      </c>
      <c r="F158" s="61">
        <v>0.66</v>
      </c>
    </row>
    <row r="159" spans="1:6" x14ac:dyDescent="0.25">
      <c r="A159">
        <v>12</v>
      </c>
      <c r="B159" t="str">
        <v>ESTACION RIO ABAJO</v>
      </c>
      <c r="C159">
        <v>0.5</v>
      </c>
      <c r="D159">
        <v>2023</v>
      </c>
      <c r="E159" s="61">
        <v>2024</v>
      </c>
      <c r="F159" s="61">
        <v>0.38</v>
      </c>
    </row>
    <row r="160" spans="1:6" x14ac:dyDescent="0.25">
      <c r="A160">
        <v>12</v>
      </c>
      <c r="B160" t="str">
        <v>ESTACION RIO ABAJO</v>
      </c>
      <c r="C160">
        <v>0.36</v>
      </c>
      <c r="D160">
        <v>2023</v>
      </c>
      <c r="E160" s="61">
        <v>2024</v>
      </c>
      <c r="F160" s="61">
        <v>0.46</v>
      </c>
    </row>
    <row r="161" spans="1:6" x14ac:dyDescent="0.25">
      <c r="A161">
        <v>12</v>
      </c>
      <c r="B161" t="str">
        <v>ESTACION RIO ABAJO</v>
      </c>
      <c r="C161">
        <v>0.08</v>
      </c>
      <c r="D161">
        <v>2023</v>
      </c>
      <c r="E161" s="61">
        <v>2024</v>
      </c>
      <c r="F161" s="61">
        <v>0.74</v>
      </c>
    </row>
  </sheetData>
  <autoFilter ref="E3:F3" xr:uid="{CD8E6033-4EFF-422E-8B2D-FFB42D6E201F}">
    <sortState xmlns:xlrd2="http://schemas.microsoft.com/office/spreadsheetml/2017/richdata2" ref="E4:F161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9BD6-C9FC-4593-994F-5CCB3EDC3657}">
  <sheetPr>
    <tabColor theme="5" tint="-0.249977111117893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51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λ=620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161">_xlfn._xlws.FILTER(CHOOSE(1,'Resultados historicos'!C:C,'Resultados historicos'!D:D,'Resultados historicos'!O:O,'Resultados historicos'!A:A),'Resultados historicos'!H:H=A2)</f>
        <v>1</v>
      </c>
      <c r="B4" t="str" cm="1">
        <f t="array" ref="B4:B161">_xlfn._xlws.FILTER(CHOOSE(2,'Resultados historicos'!C:C,'Resultados historicos'!D:D,'Resultados historicos'!O:O,'Resultados historicos'!A:A),'Resultados historicos'!H:H=A2)</f>
        <v>ESTACION EL HIERBAL</v>
      </c>
      <c r="C4" cm="1">
        <f t="array" ref="C4:C161">_xlfn._xlws.FILTER(CHOOSE(3,'Resultados historicos'!C:C,'Resultados historicos'!D:D,'Resultados historicos'!Q:Q,'Resultados historicos'!A:A),'Resultados historicos'!H:H=A2)</f>
        <v>0.1</v>
      </c>
      <c r="D4" cm="1">
        <f t="array" ref="D4:D161">_xlfn._xlws.FILTER(CHOOSE(4,'Resultados historicos'!C:C,'Resultados historicos'!D:D,'Resultados historicos'!O:O,'Resultados historicos'!A:A),'Resultados historicos'!H:H=A2)</f>
        <v>2020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EL HIERBAL</v>
      </c>
      <c r="C5">
        <v>0.3</v>
      </c>
      <c r="D5">
        <v>2020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EL HIERBAL</v>
      </c>
      <c r="C6">
        <v>0.2</v>
      </c>
      <c r="D6">
        <v>2021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EL HIERBAL</v>
      </c>
      <c r="C7">
        <v>0.1</v>
      </c>
      <c r="D7">
        <v>2019</v>
      </c>
      <c r="E7" s="61">
        <v>2019</v>
      </c>
      <c r="F7" s="61">
        <v>0.1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EL HIERBAL</v>
      </c>
      <c r="C8">
        <v>0.2</v>
      </c>
      <c r="D8">
        <v>2020</v>
      </c>
      <c r="E8" s="61">
        <v>2019</v>
      </c>
      <c r="F8" s="61">
        <v>0.1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EL HIERBAL</v>
      </c>
      <c r="C9">
        <v>0.18</v>
      </c>
      <c r="D9">
        <v>2021</v>
      </c>
      <c r="E9" s="61">
        <v>2019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EL HIERBAL</v>
      </c>
      <c r="C10">
        <v>0.2</v>
      </c>
      <c r="D10">
        <v>2021</v>
      </c>
      <c r="E10" s="61">
        <v>2019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EL HIERBAL</v>
      </c>
      <c r="C11">
        <v>0.2</v>
      </c>
      <c r="D11">
        <v>2022</v>
      </c>
      <c r="E11" s="61">
        <v>2019</v>
      </c>
      <c r="F11" s="61">
        <v>0.1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EL HIERBAL</v>
      </c>
      <c r="C12">
        <v>0.2</v>
      </c>
      <c r="D12">
        <v>2022</v>
      </c>
      <c r="E12" s="61">
        <v>2019</v>
      </c>
      <c r="F12" s="61">
        <v>0.1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EL HIERBAL</v>
      </c>
      <c r="C13">
        <v>0.06</v>
      </c>
      <c r="D13">
        <v>2022</v>
      </c>
      <c r="E13" s="61">
        <v>2019</v>
      </c>
      <c r="F13" s="61">
        <v>0.1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EL HIERBAL</v>
      </c>
      <c r="C14">
        <v>0.08</v>
      </c>
      <c r="D14">
        <v>2023</v>
      </c>
      <c r="E14" s="61">
        <v>2020</v>
      </c>
      <c r="F14" s="61">
        <v>0.1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EL HIERBAL</v>
      </c>
      <c r="C15">
        <v>0.04</v>
      </c>
      <c r="D15">
        <v>2023</v>
      </c>
      <c r="E15" s="61">
        <v>2020</v>
      </c>
      <c r="F15" s="61">
        <v>0.3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EL HIERBAL</v>
      </c>
      <c r="C16">
        <v>0.08</v>
      </c>
      <c r="D16">
        <v>2023</v>
      </c>
      <c r="E16" s="61">
        <v>2020</v>
      </c>
      <c r="F16" s="61">
        <v>0.2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EL HIERBAL</v>
      </c>
      <c r="C17">
        <v>0.3</v>
      </c>
      <c r="D17">
        <v>2024</v>
      </c>
      <c r="E17" s="61">
        <v>2020</v>
      </c>
      <c r="F17" s="61">
        <v>0.2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EL HIERBAL</v>
      </c>
      <c r="C18">
        <v>0.18</v>
      </c>
      <c r="D18">
        <v>2024</v>
      </c>
      <c r="E18" s="61">
        <v>2020</v>
      </c>
      <c r="F18" s="61">
        <v>0.1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EL HIERBAL</v>
      </c>
      <c r="C19">
        <v>0.2</v>
      </c>
      <c r="D19">
        <v>2024</v>
      </c>
      <c r="E19" s="61">
        <v>2020</v>
      </c>
      <c r="F19" s="61">
        <v>0.3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MONTENEVADO</v>
      </c>
      <c r="C20">
        <v>0.1</v>
      </c>
      <c r="D20">
        <v>2021</v>
      </c>
      <c r="E20" s="61">
        <v>2020</v>
      </c>
      <c r="F20" s="61">
        <v>0.1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MONTENEVADO</v>
      </c>
      <c r="C21">
        <v>0.1</v>
      </c>
      <c r="D21">
        <v>2019</v>
      </c>
      <c r="E21" s="61">
        <v>2020</v>
      </c>
      <c r="F21" s="61">
        <v>0.1</v>
      </c>
      <c r="H21" s="131"/>
      <c r="I21" s="131"/>
      <c r="J21" s="131"/>
      <c r="K21" s="131"/>
      <c r="L21" s="131"/>
      <c r="M21" s="131"/>
      <c r="N21" s="131"/>
      <c r="O21" s="137" t="str">
        <f>H30</f>
        <v>λ=620 (m⁻¹)</v>
      </c>
      <c r="P21" s="137"/>
      <c r="Q21" s="137"/>
      <c r="R21" s="137"/>
      <c r="S21" s="137"/>
      <c r="T21" s="137"/>
      <c r="W21" s="138" t="str">
        <f>O21</f>
        <v>λ=620 (m⁻¹)</v>
      </c>
      <c r="X21" s="138"/>
      <c r="Y21" s="138"/>
    </row>
    <row r="22" spans="1:25" x14ac:dyDescent="0.25">
      <c r="A22">
        <v>2</v>
      </c>
      <c r="B22" t="str">
        <v>ESTACION MONTENEVADO</v>
      </c>
      <c r="C22">
        <v>0.2</v>
      </c>
      <c r="D22">
        <v>2020</v>
      </c>
      <c r="E22" s="61">
        <v>2020</v>
      </c>
      <c r="F22" s="61">
        <v>0.2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MONTENEVADO</v>
      </c>
      <c r="C23">
        <v>0.1</v>
      </c>
      <c r="D23">
        <v>2020</v>
      </c>
      <c r="E23" s="61">
        <v>2020</v>
      </c>
      <c r="F23" s="61">
        <v>0.1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10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9.9999999999999992E-2</v>
      </c>
      <c r="S23" s="10">
        <f t="shared" ref="S23:S28" si="3">_xlfn.MAXIFS(_xlfn.ANCHORARRAY($C$4),_xlfn.ANCHORARRAY($D$4),O23)</f>
        <v>0.1</v>
      </c>
      <c r="T23" s="10" cm="1">
        <f t="array" ref="T23">_xlfn.STDEV.S(_xlfn._xlws.FILTER(_xlfn.ANCHORARRAY($C$4),_xlfn.ANCHORARRAY($D$4)=O23))</f>
        <v>1.4628472785736255E-17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MONTENEVADO</v>
      </c>
      <c r="C24">
        <v>0.3</v>
      </c>
      <c r="D24">
        <v>2020</v>
      </c>
      <c r="E24" s="61">
        <v>2020</v>
      </c>
      <c r="F24" s="61">
        <v>0.1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28</v>
      </c>
      <c r="Q24" s="10">
        <f t="shared" si="1"/>
        <v>0.1</v>
      </c>
      <c r="R24" s="10">
        <f t="shared" si="2"/>
        <v>0.19285714285714289</v>
      </c>
      <c r="S24" s="10">
        <f t="shared" si="3"/>
        <v>0.5</v>
      </c>
      <c r="T24" s="10" cm="1">
        <f t="array" ref="T24">_xlfn.STDEV.S(_xlfn._xlws.FILTER(_xlfn.ANCHORARRAY($C$4),_xlfn.ANCHORARRAY($D$4)=O24))</f>
        <v>0.10862293403762299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MONTENEVADO</v>
      </c>
      <c r="C25">
        <v>0.24</v>
      </c>
      <c r="D25">
        <v>2021</v>
      </c>
      <c r="E25" s="61">
        <v>2020</v>
      </c>
      <c r="F25" s="61">
        <v>0.2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30</v>
      </c>
      <c r="Q25" s="10">
        <f t="shared" si="1"/>
        <v>0.08</v>
      </c>
      <c r="R25" s="10">
        <f t="shared" si="2"/>
        <v>0.22466666666666671</v>
      </c>
      <c r="S25" s="10">
        <f t="shared" si="3"/>
        <v>0.7</v>
      </c>
      <c r="T25" s="10" cm="1">
        <f t="array" ref="T25">_xlfn.STDEV.S(_xlfn._xlws.FILTER(_xlfn.ANCHORARRAY($C$4),_xlfn.ANCHORARRAY($D$4)=O25))</f>
        <v>0.12700076929805915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MONTENEVADO</v>
      </c>
      <c r="C26">
        <v>0.2</v>
      </c>
      <c r="D26">
        <v>2021</v>
      </c>
      <c r="E26" s="61">
        <v>2020</v>
      </c>
      <c r="F26" s="61">
        <v>0.1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30</v>
      </c>
      <c r="Q26" s="10">
        <f t="shared" si="1"/>
        <v>0.06</v>
      </c>
      <c r="R26" s="10">
        <f t="shared" si="2"/>
        <v>0.20166666666666669</v>
      </c>
      <c r="S26" s="10">
        <f t="shared" si="3"/>
        <v>0.64</v>
      </c>
      <c r="T26" s="10" cm="1">
        <f t="array" ref="T26">_xlfn.STDEV.S(_xlfn._xlws.FILTER(_xlfn.ANCHORARRAY($C$4),_xlfn.ANCHORARRAY($D$4)=O26))</f>
        <v>0.10550644148772294</v>
      </c>
      <c r="V26" t="s">
        <v>565</v>
      </c>
      <c r="W26" s="1" t="str">
        <f>TEXT(R29,"0,00")&amp;" ± "&amp;TEXT((W25*T29/SQRT(P29)),"0,00")</f>
        <v>0,25 ± 0,03</v>
      </c>
      <c r="X26" s="1" t="str">
        <f>TEXT(R29,"0,00")&amp;" ± "&amp;TEXT((X25*T29/SQRT(P29)),"0,00")</f>
        <v>0,25 ± 0,04</v>
      </c>
      <c r="Y26" s="1" t="str">
        <f>TEXT(R29,"0,00")&amp;" ± "&amp;TEXT((Y25*T29/SQRT(P29)),"0,00")</f>
        <v>0,25 ± 0,05</v>
      </c>
    </row>
    <row r="27" spans="1:25" x14ac:dyDescent="0.25">
      <c r="A27">
        <v>2</v>
      </c>
      <c r="B27" t="str">
        <v>ESTACION MONTENEVADO</v>
      </c>
      <c r="C27">
        <v>0.2</v>
      </c>
      <c r="D27">
        <v>2022</v>
      </c>
      <c r="E27" s="61">
        <v>2020</v>
      </c>
      <c r="F27" s="61">
        <v>0.2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30</v>
      </c>
      <c r="Q27" s="10">
        <f t="shared" si="1"/>
        <v>0.02</v>
      </c>
      <c r="R27" s="10">
        <f t="shared" si="2"/>
        <v>0.14933333333333332</v>
      </c>
      <c r="S27" s="10">
        <f t="shared" si="3"/>
        <v>0.7</v>
      </c>
      <c r="T27" s="10" cm="1">
        <f t="array" ref="T27">_xlfn.STDEV.S(_xlfn._xlws.FILTER(_xlfn.ANCHORARRAY($C$4),_xlfn.ANCHORARRAY($D$4)=O27))</f>
        <v>0.16254300933924379</v>
      </c>
      <c r="V27" t="s">
        <v>566</v>
      </c>
      <c r="W27" s="10">
        <f>R29-(W25*T29/SQRT(P29))</f>
        <v>0.21266336249351739</v>
      </c>
      <c r="X27" s="10">
        <f>R29-(X25*T29/SQRT(P29))</f>
        <v>0.2059835236503649</v>
      </c>
      <c r="Y27" s="10">
        <f>R29-(Y25*T29/SQRT(P29))</f>
        <v>0.19292815755085702</v>
      </c>
    </row>
    <row r="28" spans="1:25" x14ac:dyDescent="0.25">
      <c r="A28">
        <v>2</v>
      </c>
      <c r="B28" t="str">
        <v>ESTACION MONTENEVADO</v>
      </c>
      <c r="C28">
        <v>0.2</v>
      </c>
      <c r="D28">
        <v>2022</v>
      </c>
      <c r="E28" s="61">
        <v>2020</v>
      </c>
      <c r="F28" s="61">
        <v>0.1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30</v>
      </c>
      <c r="Q28" s="10">
        <f t="shared" si="1"/>
        <v>0.12</v>
      </c>
      <c r="R28" s="10">
        <f t="shared" si="2"/>
        <v>0.51466666666666672</v>
      </c>
      <c r="S28" s="10">
        <f t="shared" si="3"/>
        <v>1.7</v>
      </c>
      <c r="T28" s="10" cm="1">
        <f t="array" ref="T28">_xlfn.STDEV.S(_xlfn._xlws.FILTER(_xlfn.ANCHORARRAY($C$4),_xlfn.ANCHORARRAY($D$4)=O28))</f>
        <v>0.4720296113836383</v>
      </c>
      <c r="V28" t="s">
        <v>567</v>
      </c>
      <c r="W28" s="10">
        <f>R29+(W25*T29/SQRT(P29))</f>
        <v>0.28239992864572316</v>
      </c>
      <c r="X28" s="10">
        <f>R29+(X25*T29/SQRT(P29))</f>
        <v>0.28907976748887565</v>
      </c>
      <c r="Y28" s="10">
        <f>R29+(Y25*T29/SQRT(P29))</f>
        <v>0.30213513358838356</v>
      </c>
    </row>
    <row r="29" spans="1:25" x14ac:dyDescent="0.25">
      <c r="A29">
        <v>2</v>
      </c>
      <c r="B29" t="str">
        <v>ESTACION MONTENEVADO</v>
      </c>
      <c r="C29">
        <v>0.1</v>
      </c>
      <c r="D29">
        <v>2022</v>
      </c>
      <c r="E29" s="61">
        <v>2020</v>
      </c>
      <c r="F29" s="61">
        <v>0.1</v>
      </c>
      <c r="O29" t="s">
        <v>568</v>
      </c>
      <c r="P29" s="1">
        <f>SUM(P23:P28)</f>
        <v>158</v>
      </c>
      <c r="R29" s="10">
        <f>AVERAGE(_xlfn.ANCHORARRAY(C4))</f>
        <v>0.24753164556962029</v>
      </c>
      <c r="T29" s="10">
        <f>_xlfn.STDEV.S(_xlfn.ANCHORARRAY(C4))</f>
        <v>0.26645989339553056</v>
      </c>
    </row>
    <row r="30" spans="1:25" x14ac:dyDescent="0.25">
      <c r="A30">
        <v>2</v>
      </c>
      <c r="B30" t="str">
        <v>ESTACION MONTENEVADO</v>
      </c>
      <c r="C30">
        <v>0.06</v>
      </c>
      <c r="D30">
        <v>2023</v>
      </c>
      <c r="E30" s="61">
        <v>2020</v>
      </c>
      <c r="F30" s="61">
        <v>0.4</v>
      </c>
      <c r="H30" s="137" t="str">
        <f>'Estadistico resumen'!O1</f>
        <v>λ=620 (m⁻¹)</v>
      </c>
      <c r="I30" s="137"/>
      <c r="J30" s="137"/>
      <c r="K30" s="137"/>
      <c r="L30" s="137"/>
      <c r="M30" s="137"/>
      <c r="N30" s="137"/>
    </row>
    <row r="31" spans="1:25" x14ac:dyDescent="0.25">
      <c r="A31">
        <v>2</v>
      </c>
      <c r="B31" t="str">
        <v>ESTACION MONTENEVADO</v>
      </c>
      <c r="C31">
        <v>0.04</v>
      </c>
      <c r="D31">
        <v>2023</v>
      </c>
      <c r="E31" s="61">
        <v>2020</v>
      </c>
      <c r="F31" s="61">
        <v>0.1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MONTENEVADO</v>
      </c>
      <c r="C32">
        <v>0.1</v>
      </c>
      <c r="D32">
        <v>2023</v>
      </c>
      <c r="E32" s="61">
        <v>2020</v>
      </c>
      <c r="F32" s="61">
        <v>0.5</v>
      </c>
      <c r="H32" s="1" cm="1">
        <f t="array" ref="H32:H41">_xlfn._xlws.SORT(_xlfn.UNIQUE(_xlfn.ANCHORARRAY(A4)))</f>
        <v>1</v>
      </c>
      <c r="I32" t="str">
        <f>VLOOKUP(H32,$A$4:$B$161,2)</f>
        <v>ESTACION EL HIERBAL</v>
      </c>
      <c r="J32" s="46">
        <f>COUNTIF(_xlfn.ANCHORARRAY($B$4),I32)</f>
        <v>16</v>
      </c>
      <c r="K32" s="10">
        <f>_xlfn.MINIFS(_xlfn.ANCHORARRAY($C$4),_xlfn.ANCHORARRAY($B$4),I32)</f>
        <v>0.04</v>
      </c>
      <c r="L32" s="10">
        <f>SUMIFS(_xlfn.ANCHORARRAY($C$4),_xlfn.ANCHORARRAY($B$4),I32)/J32</f>
        <v>0.16375000000000003</v>
      </c>
      <c r="M32" s="10">
        <f>_xlfn.MAXIFS(_xlfn.ANCHORARRAY($C$4),_xlfn.ANCHORARRAY($B$4),I32)</f>
        <v>0.3</v>
      </c>
      <c r="N32" s="10" cm="1">
        <f t="array" ref="N32">_xlfn.STDEV.S(_xlfn._xlws.FILTER(_xlfn.ANCHORARRAY($C$4),_xlfn.ANCHORARRAY($B$4)=I32))</f>
        <v>7.9067481727108688E-2</v>
      </c>
    </row>
    <row r="33" spans="1:14" x14ac:dyDescent="0.25">
      <c r="A33">
        <v>2</v>
      </c>
      <c r="B33" t="str">
        <v>ESTACION MONTENEVADO</v>
      </c>
      <c r="C33">
        <v>0.12</v>
      </c>
      <c r="D33">
        <v>2024</v>
      </c>
      <c r="E33" s="61">
        <v>2020</v>
      </c>
      <c r="F33" s="61">
        <v>0.2</v>
      </c>
      <c r="H33" s="1">
        <v>2</v>
      </c>
      <c r="I33" t="str">
        <f t="shared" ref="I33:I41" si="4">VLOOKUP(H33,$A$4:$B$161,2)</f>
        <v>ESTACION MONTENEVADO</v>
      </c>
      <c r="J33" s="46">
        <f t="shared" ref="J33:J41" si="5">COUNTIF(_xlfn.ANCHORARRAY($B$4),I33)</f>
        <v>16</v>
      </c>
      <c r="K33" s="10">
        <f t="shared" ref="K33:K41" si="6">_xlfn.MINIFS(_xlfn.ANCHORARRAY($C$4),_xlfn.ANCHORARRAY($B$4),I33)</f>
        <v>0.04</v>
      </c>
      <c r="L33" s="10">
        <f t="shared" ref="L33:L41" si="7">SUMIFS(_xlfn.ANCHORARRAY($C$4),_xlfn.ANCHORARRAY($B$4),I33)/J33</f>
        <v>0.24249999999999999</v>
      </c>
      <c r="M33" s="10">
        <f t="shared" ref="M33:M41" si="8">_xlfn.MAXIFS(_xlfn.ANCHORARRAY($C$4),_xlfn.ANCHORARRAY($B$4),I33)</f>
        <v>1.7</v>
      </c>
      <c r="N33" s="10" cm="1">
        <f t="array" ref="N33">_xlfn.STDEV.S(_xlfn._xlws.FILTER(_xlfn.ANCHORARRAY($C$4),_xlfn.ANCHORARRAY($B$4)=I33))</f>
        <v>0.39502742520825901</v>
      </c>
    </row>
    <row r="34" spans="1:14" x14ac:dyDescent="0.25">
      <c r="A34">
        <v>2</v>
      </c>
      <c r="B34" t="str">
        <v>ESTACION MONTENEVADO</v>
      </c>
      <c r="C34">
        <v>0.12</v>
      </c>
      <c r="D34">
        <v>2024</v>
      </c>
      <c r="E34" s="61">
        <v>2020</v>
      </c>
      <c r="F34" s="61">
        <v>0.2</v>
      </c>
      <c r="H34" s="1">
        <v>4</v>
      </c>
      <c r="I34" t="str">
        <f t="shared" si="4"/>
        <v>ESTACION CHARCOMANSO</v>
      </c>
      <c r="J34" s="46">
        <f t="shared" si="5"/>
        <v>16</v>
      </c>
      <c r="K34" s="10">
        <f t="shared" si="6"/>
        <v>0.06</v>
      </c>
      <c r="L34" s="10">
        <f t="shared" si="7"/>
        <v>0.20250000000000007</v>
      </c>
      <c r="M34" s="10">
        <f t="shared" si="8"/>
        <v>1.18</v>
      </c>
      <c r="N34" s="10" cm="1">
        <f t="array" ref="N34">_xlfn.STDEV.S(_xlfn._xlws.FILTER(_xlfn.ANCHORARRAY($C$4),_xlfn.ANCHORARRAY($B$4)=I34))</f>
        <v>0.2688122021039967</v>
      </c>
    </row>
    <row r="35" spans="1:14" x14ac:dyDescent="0.25">
      <c r="A35">
        <v>2</v>
      </c>
      <c r="B35" t="str">
        <v>ESTACION MONTENEVADO</v>
      </c>
      <c r="C35">
        <v>1.7</v>
      </c>
      <c r="D35">
        <v>2024</v>
      </c>
      <c r="E35" s="61">
        <v>2020</v>
      </c>
      <c r="F35" s="61">
        <v>0.1</v>
      </c>
      <c r="H35" s="1">
        <v>6</v>
      </c>
      <c r="I35" t="str">
        <f t="shared" si="4"/>
        <v>ESTACION BOCATOMA MUNICIPIO DE RIONEGRO</v>
      </c>
      <c r="J35" s="46">
        <f t="shared" si="5"/>
        <v>16</v>
      </c>
      <c r="K35" s="10">
        <f t="shared" si="6"/>
        <v>0.04</v>
      </c>
      <c r="L35" s="10">
        <f t="shared" si="7"/>
        <v>0.21625000000000008</v>
      </c>
      <c r="M35" s="10">
        <f t="shared" si="8"/>
        <v>1.6</v>
      </c>
      <c r="N35" s="10" cm="1">
        <f t="array" ref="N35">_xlfn.STDEV.S(_xlfn._xlws.FILTER(_xlfn.ANCHORARRAY($C$4),_xlfn.ANCHORARRAY($B$4)=I35))</f>
        <v>0.37289632160517028</v>
      </c>
    </row>
    <row r="36" spans="1:14" x14ac:dyDescent="0.25">
      <c r="A36">
        <v>4</v>
      </c>
      <c r="B36" t="str">
        <v>ESTACION CHARCOMANSO</v>
      </c>
      <c r="C36">
        <v>0.18</v>
      </c>
      <c r="D36">
        <v>2024</v>
      </c>
      <c r="E36" s="61">
        <v>2020</v>
      </c>
      <c r="F36" s="61">
        <v>0.2</v>
      </c>
      <c r="H36" s="1">
        <v>7</v>
      </c>
      <c r="I36" t="str">
        <f t="shared" si="4"/>
        <v>ESTACION PUENTE REAL</v>
      </c>
      <c r="J36" s="46">
        <f t="shared" si="5"/>
        <v>16</v>
      </c>
      <c r="K36" s="10">
        <f t="shared" si="6"/>
        <v>0.02</v>
      </c>
      <c r="L36" s="10">
        <f t="shared" si="7"/>
        <v>0.21687500000000004</v>
      </c>
      <c r="M36" s="10">
        <f t="shared" si="8"/>
        <v>1.1200000000000001</v>
      </c>
      <c r="N36" s="10" cm="1">
        <f t="array" ref="N36">_xlfn.STDEV.S(_xlfn._xlws.FILTER(_xlfn.ANCHORARRAY($C$4),_xlfn.ANCHORARRAY($B$4)=I36))</f>
        <v>0.2550220578695106</v>
      </c>
    </row>
    <row r="37" spans="1:14" x14ac:dyDescent="0.25">
      <c r="A37">
        <v>4</v>
      </c>
      <c r="B37" t="str">
        <v>ESTACION CHARCOMANSO</v>
      </c>
      <c r="C37">
        <v>0.18</v>
      </c>
      <c r="D37">
        <v>2024</v>
      </c>
      <c r="E37" s="61">
        <v>2020</v>
      </c>
      <c r="F37" s="61">
        <v>0.1</v>
      </c>
      <c r="H37" s="1">
        <v>8</v>
      </c>
      <c r="I37" t="str">
        <f t="shared" si="4"/>
        <v>ESTACION PUENTE ANTES DE LA EBAR EPRIO</v>
      </c>
      <c r="J37" s="46">
        <f t="shared" si="5"/>
        <v>16</v>
      </c>
      <c r="K37" s="10">
        <f t="shared" si="6"/>
        <v>0.04</v>
      </c>
      <c r="L37" s="10">
        <f t="shared" si="7"/>
        <v>0.24000000000000007</v>
      </c>
      <c r="M37" s="10">
        <f t="shared" si="8"/>
        <v>1.3</v>
      </c>
      <c r="N37" s="10" cm="1">
        <f t="array" ref="N37">_xlfn.STDEV.S(_xlfn._xlws.FILTER(_xlfn.ANCHORARRAY($C$4),_xlfn.ANCHORARRAY($B$4)=I37))</f>
        <v>0.2957476401709177</v>
      </c>
    </row>
    <row r="38" spans="1:14" x14ac:dyDescent="0.25">
      <c r="A38">
        <v>4</v>
      </c>
      <c r="B38" t="str">
        <v>ESTACION CHARCOMANSO</v>
      </c>
      <c r="C38">
        <v>1.18</v>
      </c>
      <c r="D38">
        <v>2024</v>
      </c>
      <c r="E38" s="61">
        <v>2020</v>
      </c>
      <c r="F38" s="61">
        <v>0.2</v>
      </c>
      <c r="H38" s="1">
        <v>9</v>
      </c>
      <c r="I38" t="str">
        <f t="shared" si="4"/>
        <v>ESTACION DESPUES DE LA DESCARGA DE LA PTARD MUNICIPIO DE RIONEGRO</v>
      </c>
      <c r="J38" s="46">
        <f t="shared" si="5"/>
        <v>15</v>
      </c>
      <c r="K38" s="10">
        <f t="shared" si="6"/>
        <v>0.08</v>
      </c>
      <c r="L38" s="10">
        <f t="shared" si="7"/>
        <v>0.33200000000000002</v>
      </c>
      <c r="M38" s="10">
        <f t="shared" si="8"/>
        <v>0.9</v>
      </c>
      <c r="N38" s="10" cm="1">
        <f t="array" ref="N38">_xlfn.STDEV.S(_xlfn._xlws.FILTER(_xlfn.ANCHORARRAY($C$4),_xlfn.ANCHORARRAY($B$4)=I38))</f>
        <v>0.2584348494854582</v>
      </c>
    </row>
    <row r="39" spans="1:14" x14ac:dyDescent="0.25">
      <c r="A39">
        <v>4</v>
      </c>
      <c r="B39" t="str">
        <v>ESTACION CHARCOMANSO</v>
      </c>
      <c r="C39">
        <v>0.3</v>
      </c>
      <c r="D39">
        <v>2021</v>
      </c>
      <c r="E39" s="61">
        <v>2020</v>
      </c>
      <c r="F39" s="61">
        <v>0.4</v>
      </c>
      <c r="H39" s="1">
        <v>10</v>
      </c>
      <c r="I39" t="str">
        <f t="shared" si="4"/>
        <v>ESTACION PUENTE AUTOPISTA</v>
      </c>
      <c r="J39" s="46">
        <f t="shared" si="5"/>
        <v>16</v>
      </c>
      <c r="K39" s="10">
        <f t="shared" si="6"/>
        <v>0.04</v>
      </c>
      <c r="L39" s="10">
        <f t="shared" si="7"/>
        <v>0.29750000000000004</v>
      </c>
      <c r="M39" s="10">
        <f t="shared" si="8"/>
        <v>0.7</v>
      </c>
      <c r="N39" s="10" cm="1">
        <f t="array" ref="N39">_xlfn.STDEV.S(_xlfn._xlws.FILTER(_xlfn.ANCHORARRAY($C$4),_xlfn.ANCHORARRAY($B$4)=I39))</f>
        <v>0.20770170918892311</v>
      </c>
    </row>
    <row r="40" spans="1:14" x14ac:dyDescent="0.25">
      <c r="A40">
        <v>4</v>
      </c>
      <c r="B40" t="str">
        <v>ESTACION CHARCOMANSO</v>
      </c>
      <c r="C40">
        <v>0.1</v>
      </c>
      <c r="D40">
        <v>2019</v>
      </c>
      <c r="E40" s="61">
        <v>2020</v>
      </c>
      <c r="F40" s="61">
        <v>0.2</v>
      </c>
      <c r="H40" s="1">
        <v>11</v>
      </c>
      <c r="I40" t="str">
        <f t="shared" si="4"/>
        <v>ESTACION LA FRESERA</v>
      </c>
      <c r="J40" s="46">
        <f t="shared" si="5"/>
        <v>16</v>
      </c>
      <c r="K40" s="10">
        <f t="shared" si="6"/>
        <v>0.04</v>
      </c>
      <c r="L40" s="10">
        <f t="shared" si="7"/>
        <v>0.3125</v>
      </c>
      <c r="M40" s="10">
        <f t="shared" si="8"/>
        <v>1.1000000000000001</v>
      </c>
      <c r="N40" s="10" cm="1">
        <f t="array" ref="N40">_xlfn.STDEV.S(_xlfn._xlws.FILTER(_xlfn.ANCHORARRAY($C$4),_xlfn.ANCHORARRAY($B$4)=I40))</f>
        <v>0.2733373983437562</v>
      </c>
    </row>
    <row r="41" spans="1:14" x14ac:dyDescent="0.25">
      <c r="A41">
        <v>4</v>
      </c>
      <c r="B41" t="str">
        <v>ESTACION CHARCOMANSO</v>
      </c>
      <c r="C41">
        <v>0.1</v>
      </c>
      <c r="D41">
        <v>2020</v>
      </c>
      <c r="E41" s="61">
        <v>2020</v>
      </c>
      <c r="F41" s="61">
        <v>0.3</v>
      </c>
      <c r="H41" s="1">
        <v>12</v>
      </c>
      <c r="I41" t="str">
        <f t="shared" si="4"/>
        <v>ESTACION RIO ABAJO</v>
      </c>
      <c r="J41" s="46">
        <f t="shared" si="5"/>
        <v>15</v>
      </c>
      <c r="K41" s="10">
        <f t="shared" si="6"/>
        <v>0.06</v>
      </c>
      <c r="L41" s="10">
        <f t="shared" si="7"/>
        <v>0.25733333333333336</v>
      </c>
      <c r="M41" s="10">
        <f t="shared" si="8"/>
        <v>0.48</v>
      </c>
      <c r="N41" s="10" cm="1">
        <f t="array" ref="N41">_xlfn.STDEV.S(_xlfn._xlws.FILTER(_xlfn.ANCHORARRAY($C$4),_xlfn.ANCHORARRAY($B$4)=I41))</f>
        <v>0.10686885599159544</v>
      </c>
    </row>
    <row r="42" spans="1:14" x14ac:dyDescent="0.25">
      <c r="A42">
        <v>4</v>
      </c>
      <c r="B42" t="str">
        <v>ESTACION CHARCOMANSO</v>
      </c>
      <c r="C42">
        <v>0.1</v>
      </c>
      <c r="D42">
        <v>2020</v>
      </c>
      <c r="E42" s="61">
        <v>2021</v>
      </c>
      <c r="F42" s="61">
        <v>0.2</v>
      </c>
    </row>
    <row r="43" spans="1:14" x14ac:dyDescent="0.25">
      <c r="A43">
        <v>4</v>
      </c>
      <c r="B43" t="str">
        <v>ESTACION CHARCOMANSO</v>
      </c>
      <c r="C43">
        <v>0.2</v>
      </c>
      <c r="D43">
        <v>2020</v>
      </c>
      <c r="E43" s="61">
        <v>2021</v>
      </c>
      <c r="F43" s="61">
        <v>0.18</v>
      </c>
    </row>
    <row r="44" spans="1:14" x14ac:dyDescent="0.25">
      <c r="A44">
        <v>4</v>
      </c>
      <c r="B44" t="str">
        <v>ESTACION CHARCOMANSO</v>
      </c>
      <c r="C44">
        <v>0.08</v>
      </c>
      <c r="D44">
        <v>2021</v>
      </c>
      <c r="E44" s="61">
        <v>2021</v>
      </c>
      <c r="F44" s="61">
        <v>0.2</v>
      </c>
    </row>
    <row r="45" spans="1:14" x14ac:dyDescent="0.25">
      <c r="A45">
        <v>4</v>
      </c>
      <c r="B45" t="str">
        <v>ESTACION CHARCOMANSO</v>
      </c>
      <c r="C45">
        <v>0.2</v>
      </c>
      <c r="D45">
        <v>2021</v>
      </c>
      <c r="E45" s="61">
        <v>2021</v>
      </c>
      <c r="F45" s="61">
        <v>0.1</v>
      </c>
    </row>
    <row r="46" spans="1:14" x14ac:dyDescent="0.25">
      <c r="A46">
        <v>4</v>
      </c>
      <c r="B46" t="str">
        <v>ESTACION CHARCOMANSO</v>
      </c>
      <c r="C46">
        <v>0.2</v>
      </c>
      <c r="D46">
        <v>2022</v>
      </c>
      <c r="E46" s="61">
        <v>2021</v>
      </c>
      <c r="F46" s="61">
        <v>0.24</v>
      </c>
    </row>
    <row r="47" spans="1:14" x14ac:dyDescent="0.25">
      <c r="A47">
        <v>4</v>
      </c>
      <c r="B47" t="str">
        <v>ESTACION CHARCOMANSO</v>
      </c>
      <c r="C47">
        <v>0.1</v>
      </c>
      <c r="D47">
        <v>2022</v>
      </c>
      <c r="E47" s="61">
        <v>2021</v>
      </c>
      <c r="F47" s="61">
        <v>0.2</v>
      </c>
    </row>
    <row r="48" spans="1:14" x14ac:dyDescent="0.25">
      <c r="A48">
        <v>4</v>
      </c>
      <c r="B48" t="str">
        <v>ESTACION CHARCOMANSO</v>
      </c>
      <c r="C48">
        <v>0.1</v>
      </c>
      <c r="D48">
        <v>2022</v>
      </c>
      <c r="E48" s="61">
        <v>2021</v>
      </c>
      <c r="F48" s="61">
        <v>0.3</v>
      </c>
    </row>
    <row r="49" spans="1:6" x14ac:dyDescent="0.25">
      <c r="A49">
        <v>4</v>
      </c>
      <c r="B49" t="str">
        <v>ESTACION CHARCOMANSO</v>
      </c>
      <c r="C49">
        <v>0.06</v>
      </c>
      <c r="D49">
        <v>2023</v>
      </c>
      <c r="E49" s="61">
        <v>2021</v>
      </c>
      <c r="F49" s="61">
        <v>0.08</v>
      </c>
    </row>
    <row r="50" spans="1:6" x14ac:dyDescent="0.25">
      <c r="A50">
        <v>4</v>
      </c>
      <c r="B50" t="str">
        <v>ESTACION CHARCOMANSO</v>
      </c>
      <c r="C50">
        <v>0.08</v>
      </c>
      <c r="D50">
        <v>2023</v>
      </c>
      <c r="E50" s="61">
        <v>2021</v>
      </c>
      <c r="F50" s="61">
        <v>0.2</v>
      </c>
    </row>
    <row r="51" spans="1:6" x14ac:dyDescent="0.25">
      <c r="A51">
        <v>4</v>
      </c>
      <c r="B51" t="str">
        <v>ESTACION CHARCOMANSO</v>
      </c>
      <c r="C51">
        <v>0.08</v>
      </c>
      <c r="D51">
        <v>2023</v>
      </c>
      <c r="E51" s="61">
        <v>2021</v>
      </c>
      <c r="F51" s="61">
        <v>0.1</v>
      </c>
    </row>
    <row r="52" spans="1:6" x14ac:dyDescent="0.25">
      <c r="A52">
        <v>6</v>
      </c>
      <c r="B52" t="str">
        <v>ESTACION BOCATOMA MUNICIPIO DE RIONEGRO</v>
      </c>
      <c r="C52">
        <v>0.14000000000000001</v>
      </c>
      <c r="D52">
        <v>2024</v>
      </c>
      <c r="E52" s="61">
        <v>2021</v>
      </c>
      <c r="F52" s="61">
        <v>0.18</v>
      </c>
    </row>
    <row r="53" spans="1:6" x14ac:dyDescent="0.25">
      <c r="A53">
        <v>6</v>
      </c>
      <c r="B53" t="str">
        <v>ESTACION BOCATOMA MUNICIPIO DE RIONEGRO</v>
      </c>
      <c r="C53">
        <v>0.18</v>
      </c>
      <c r="D53">
        <v>2024</v>
      </c>
      <c r="E53" s="61">
        <v>2021</v>
      </c>
      <c r="F53" s="61">
        <v>0.2</v>
      </c>
    </row>
    <row r="54" spans="1:6" x14ac:dyDescent="0.25">
      <c r="A54">
        <v>6</v>
      </c>
      <c r="B54" t="str">
        <v>ESTACION BOCATOMA MUNICIPIO DE RIONEGRO</v>
      </c>
      <c r="C54">
        <v>1.6</v>
      </c>
      <c r="D54">
        <v>2024</v>
      </c>
      <c r="E54" s="61">
        <v>2021</v>
      </c>
      <c r="F54" s="61">
        <v>0.1</v>
      </c>
    </row>
    <row r="55" spans="1:6" x14ac:dyDescent="0.25">
      <c r="A55">
        <v>6</v>
      </c>
      <c r="B55" t="str">
        <v>ESTACION BOCATOMA MUNICIPIO DE RIONEGRO</v>
      </c>
      <c r="C55">
        <v>0.1</v>
      </c>
      <c r="D55">
        <v>2021</v>
      </c>
      <c r="E55" s="61">
        <v>2021</v>
      </c>
      <c r="F55" s="61">
        <v>0.14000000000000001</v>
      </c>
    </row>
    <row r="56" spans="1:6" x14ac:dyDescent="0.25">
      <c r="A56">
        <v>6</v>
      </c>
      <c r="B56" t="str">
        <v>ESTACION BOCATOMA MUNICIPIO DE RIONEGRO</v>
      </c>
      <c r="C56">
        <v>0.1</v>
      </c>
      <c r="D56">
        <v>2019</v>
      </c>
      <c r="E56" s="61">
        <v>2021</v>
      </c>
      <c r="F56" s="61">
        <v>0.3</v>
      </c>
    </row>
    <row r="57" spans="1:6" x14ac:dyDescent="0.25">
      <c r="A57">
        <v>6</v>
      </c>
      <c r="B57" t="str">
        <v>ESTACION BOCATOMA MUNICIPIO DE RIONEGRO</v>
      </c>
      <c r="C57">
        <v>0.1</v>
      </c>
      <c r="D57">
        <v>2020</v>
      </c>
      <c r="E57" s="61">
        <v>2021</v>
      </c>
      <c r="F57" s="61">
        <v>0.2</v>
      </c>
    </row>
    <row r="58" spans="1:6" x14ac:dyDescent="0.25">
      <c r="A58">
        <v>6</v>
      </c>
      <c r="B58" t="str">
        <v>ESTACION BOCATOMA MUNICIPIO DE RIONEGRO</v>
      </c>
      <c r="C58">
        <v>0.1</v>
      </c>
      <c r="D58">
        <v>2020</v>
      </c>
      <c r="E58" s="61">
        <v>2021</v>
      </c>
      <c r="F58" s="61">
        <v>0.14000000000000001</v>
      </c>
    </row>
    <row r="59" spans="1:6" x14ac:dyDescent="0.25">
      <c r="A59">
        <v>6</v>
      </c>
      <c r="B59" t="str">
        <v>ESTACION BOCATOMA MUNICIPIO DE RIONEGRO</v>
      </c>
      <c r="C59">
        <v>0.2</v>
      </c>
      <c r="D59">
        <v>2020</v>
      </c>
      <c r="E59" s="61">
        <v>2021</v>
      </c>
      <c r="F59" s="61">
        <v>0.2</v>
      </c>
    </row>
    <row r="60" spans="1:6" x14ac:dyDescent="0.25">
      <c r="A60">
        <v>6</v>
      </c>
      <c r="B60" t="str">
        <v>ESTACION BOCATOMA MUNICIPIO DE RIONEGRO</v>
      </c>
      <c r="C60">
        <v>0.18</v>
      </c>
      <c r="D60">
        <v>2021</v>
      </c>
      <c r="E60" s="61">
        <v>2021</v>
      </c>
      <c r="F60" s="61">
        <v>0.3</v>
      </c>
    </row>
    <row r="61" spans="1:6" x14ac:dyDescent="0.25">
      <c r="A61">
        <v>6</v>
      </c>
      <c r="B61" t="str">
        <v>ESTACION BOCATOMA MUNICIPIO DE RIONEGRO</v>
      </c>
      <c r="C61">
        <v>0.2</v>
      </c>
      <c r="D61">
        <v>2021</v>
      </c>
      <c r="E61" s="61">
        <v>2021</v>
      </c>
      <c r="F61" s="61">
        <v>0.2</v>
      </c>
    </row>
    <row r="62" spans="1:6" x14ac:dyDescent="0.25">
      <c r="A62">
        <v>6</v>
      </c>
      <c r="B62" t="str">
        <v>ESTACION BOCATOMA MUNICIPIO DE RIONEGRO</v>
      </c>
      <c r="C62">
        <v>0.2</v>
      </c>
      <c r="D62">
        <v>2022</v>
      </c>
      <c r="E62" s="61">
        <v>2021</v>
      </c>
      <c r="F62" s="61">
        <v>0.2</v>
      </c>
    </row>
    <row r="63" spans="1:6" x14ac:dyDescent="0.25">
      <c r="A63">
        <v>6</v>
      </c>
      <c r="B63" t="str">
        <v>ESTACION BOCATOMA MUNICIPIO DE RIONEGRO</v>
      </c>
      <c r="C63">
        <v>0.1</v>
      </c>
      <c r="D63">
        <v>2022</v>
      </c>
      <c r="E63" s="61">
        <v>2021</v>
      </c>
      <c r="F63" s="61">
        <v>0.2</v>
      </c>
    </row>
    <row r="64" spans="1:6" x14ac:dyDescent="0.25">
      <c r="A64">
        <v>6</v>
      </c>
      <c r="B64" t="str">
        <v>ESTACION BOCATOMA MUNICIPIO DE RIONEGRO</v>
      </c>
      <c r="C64">
        <v>0.1</v>
      </c>
      <c r="D64">
        <v>2022</v>
      </c>
      <c r="E64" s="61">
        <v>2021</v>
      </c>
      <c r="F64" s="61">
        <v>0.42</v>
      </c>
    </row>
    <row r="65" spans="1:6" x14ac:dyDescent="0.25">
      <c r="A65">
        <v>6</v>
      </c>
      <c r="B65" t="str">
        <v>ESTACION BOCATOMA MUNICIPIO DE RIONEGRO</v>
      </c>
      <c r="C65">
        <v>0.08</v>
      </c>
      <c r="D65">
        <v>2023</v>
      </c>
      <c r="E65" s="61">
        <v>2021</v>
      </c>
      <c r="F65" s="61">
        <v>0.4</v>
      </c>
    </row>
    <row r="66" spans="1:6" x14ac:dyDescent="0.25">
      <c r="A66">
        <v>6</v>
      </c>
      <c r="B66" t="str">
        <v>ESTACION BOCATOMA MUNICIPIO DE RIONEGRO</v>
      </c>
      <c r="C66">
        <v>0.04</v>
      </c>
      <c r="D66">
        <v>2023</v>
      </c>
      <c r="E66" s="61">
        <v>2021</v>
      </c>
      <c r="F66" s="61">
        <v>0.1</v>
      </c>
    </row>
    <row r="67" spans="1:6" x14ac:dyDescent="0.25">
      <c r="A67">
        <v>6</v>
      </c>
      <c r="B67" t="str">
        <v>ESTACION BOCATOMA MUNICIPIO DE RIONEGRO</v>
      </c>
      <c r="C67">
        <v>0.04</v>
      </c>
      <c r="D67">
        <v>2023</v>
      </c>
      <c r="E67" s="61">
        <v>2021</v>
      </c>
      <c r="F67" s="61">
        <v>0.7</v>
      </c>
    </row>
    <row r="68" spans="1:6" x14ac:dyDescent="0.25">
      <c r="A68">
        <v>7</v>
      </c>
      <c r="B68" t="str">
        <v>ESTACION PUENTE REAL</v>
      </c>
      <c r="C68">
        <v>0.32</v>
      </c>
      <c r="D68">
        <v>2024</v>
      </c>
      <c r="E68" s="61">
        <v>2021</v>
      </c>
      <c r="F68" s="61">
        <v>0.1</v>
      </c>
    </row>
    <row r="69" spans="1:6" x14ac:dyDescent="0.25">
      <c r="A69">
        <v>7</v>
      </c>
      <c r="B69" t="str">
        <v>ESTACION PUENTE REAL</v>
      </c>
      <c r="C69">
        <v>0.18</v>
      </c>
      <c r="D69">
        <v>2024</v>
      </c>
      <c r="E69" s="61">
        <v>2021</v>
      </c>
      <c r="F69" s="61">
        <v>0.4</v>
      </c>
    </row>
    <row r="70" spans="1:6" x14ac:dyDescent="0.25">
      <c r="A70">
        <v>7</v>
      </c>
      <c r="B70" t="str">
        <v>ESTACION PUENTE REAL</v>
      </c>
      <c r="C70">
        <v>1.1200000000000001</v>
      </c>
      <c r="D70">
        <v>2024</v>
      </c>
      <c r="E70" s="61">
        <v>2021</v>
      </c>
      <c r="F70" s="61">
        <v>0.26</v>
      </c>
    </row>
    <row r="71" spans="1:6" x14ac:dyDescent="0.25">
      <c r="A71">
        <v>7</v>
      </c>
      <c r="B71" t="str">
        <v>ESTACION PUENTE REAL</v>
      </c>
      <c r="C71">
        <v>0.1</v>
      </c>
      <c r="D71">
        <v>2020</v>
      </c>
      <c r="E71" s="61">
        <v>2021</v>
      </c>
      <c r="F71" s="61">
        <v>0.2</v>
      </c>
    </row>
    <row r="72" spans="1:6" x14ac:dyDescent="0.25">
      <c r="A72">
        <v>7</v>
      </c>
      <c r="B72" t="str">
        <v>ESTACION PUENTE REAL</v>
      </c>
      <c r="C72">
        <v>0.2</v>
      </c>
      <c r="D72">
        <v>2020</v>
      </c>
      <c r="E72" s="61">
        <v>2022</v>
      </c>
      <c r="F72" s="61">
        <v>0.2</v>
      </c>
    </row>
    <row r="73" spans="1:6" x14ac:dyDescent="0.25">
      <c r="A73">
        <v>7</v>
      </c>
      <c r="B73" t="str">
        <v>ESTACION PUENTE REAL</v>
      </c>
      <c r="C73">
        <v>0.1</v>
      </c>
      <c r="D73">
        <v>2021</v>
      </c>
      <c r="E73" s="61">
        <v>2022</v>
      </c>
      <c r="F73" s="61">
        <v>0.2</v>
      </c>
    </row>
    <row r="74" spans="1:6" x14ac:dyDescent="0.25">
      <c r="A74">
        <v>7</v>
      </c>
      <c r="B74" t="str">
        <v>ESTACION PUENTE REAL</v>
      </c>
      <c r="C74">
        <v>0.1</v>
      </c>
      <c r="D74">
        <v>2019</v>
      </c>
      <c r="E74" s="61">
        <v>2022</v>
      </c>
      <c r="F74" s="61">
        <v>0.06</v>
      </c>
    </row>
    <row r="75" spans="1:6" x14ac:dyDescent="0.25">
      <c r="A75">
        <v>7</v>
      </c>
      <c r="B75" t="str">
        <v>ESTACION PUENTE REAL</v>
      </c>
      <c r="C75">
        <v>0.1</v>
      </c>
      <c r="D75">
        <v>2020</v>
      </c>
      <c r="E75" s="61">
        <v>2022</v>
      </c>
      <c r="F75" s="61">
        <v>0.2</v>
      </c>
    </row>
    <row r="76" spans="1:6" x14ac:dyDescent="0.25">
      <c r="A76">
        <v>7</v>
      </c>
      <c r="B76" t="str">
        <v>ESTACION PUENTE REAL</v>
      </c>
      <c r="C76">
        <v>0.14000000000000001</v>
      </c>
      <c r="D76">
        <v>2021</v>
      </c>
      <c r="E76" s="61">
        <v>2022</v>
      </c>
      <c r="F76" s="61">
        <v>0.2</v>
      </c>
    </row>
    <row r="77" spans="1:6" x14ac:dyDescent="0.25">
      <c r="A77">
        <v>7</v>
      </c>
      <c r="B77" t="str">
        <v>ESTACION PUENTE REAL</v>
      </c>
      <c r="C77">
        <v>0.3</v>
      </c>
      <c r="D77">
        <v>2021</v>
      </c>
      <c r="E77" s="61">
        <v>2022</v>
      </c>
      <c r="F77" s="61">
        <v>0.1</v>
      </c>
    </row>
    <row r="78" spans="1:6" x14ac:dyDescent="0.25">
      <c r="A78">
        <v>7</v>
      </c>
      <c r="B78" t="str">
        <v>ESTACION PUENTE REAL</v>
      </c>
      <c r="C78">
        <v>0.2</v>
      </c>
      <c r="D78">
        <v>2022</v>
      </c>
      <c r="E78" s="61">
        <v>2022</v>
      </c>
      <c r="F78" s="61">
        <v>0.2</v>
      </c>
    </row>
    <row r="79" spans="1:6" x14ac:dyDescent="0.25">
      <c r="A79">
        <v>7</v>
      </c>
      <c r="B79" t="str">
        <v>ESTACION PUENTE REAL</v>
      </c>
      <c r="C79">
        <v>0.2</v>
      </c>
      <c r="D79">
        <v>2022</v>
      </c>
      <c r="E79" s="61">
        <v>2022</v>
      </c>
      <c r="F79" s="61">
        <v>0.1</v>
      </c>
    </row>
    <row r="80" spans="1:6" x14ac:dyDescent="0.25">
      <c r="A80">
        <v>7</v>
      </c>
      <c r="B80" t="str">
        <v>ESTACION PUENTE REAL</v>
      </c>
      <c r="C80">
        <v>0.23</v>
      </c>
      <c r="D80">
        <v>2022</v>
      </c>
      <c r="E80" s="61">
        <v>2022</v>
      </c>
      <c r="F80" s="61">
        <v>0.1</v>
      </c>
    </row>
    <row r="81" spans="1:6" x14ac:dyDescent="0.25">
      <c r="A81">
        <v>7</v>
      </c>
      <c r="B81" t="str">
        <v>ESTACION PUENTE REAL</v>
      </c>
      <c r="C81">
        <v>0.12</v>
      </c>
      <c r="D81">
        <v>2023</v>
      </c>
      <c r="E81" s="61">
        <v>2022</v>
      </c>
      <c r="F81" s="61">
        <v>0.2</v>
      </c>
    </row>
    <row r="82" spans="1:6" x14ac:dyDescent="0.25">
      <c r="A82">
        <v>7</v>
      </c>
      <c r="B82" t="str">
        <v>ESTACION PUENTE REAL</v>
      </c>
      <c r="C82">
        <v>0.04</v>
      </c>
      <c r="D82">
        <v>2023</v>
      </c>
      <c r="E82" s="61">
        <v>2022</v>
      </c>
      <c r="F82" s="61">
        <v>0.1</v>
      </c>
    </row>
    <row r="83" spans="1:6" x14ac:dyDescent="0.25">
      <c r="A83">
        <v>7</v>
      </c>
      <c r="B83" t="str">
        <v>ESTACION PUENTE REAL</v>
      </c>
      <c r="C83">
        <v>0.02</v>
      </c>
      <c r="D83">
        <v>2023</v>
      </c>
      <c r="E83" s="61">
        <v>2022</v>
      </c>
      <c r="F83" s="61">
        <v>0.1</v>
      </c>
    </row>
    <row r="84" spans="1:6" x14ac:dyDescent="0.25">
      <c r="A84">
        <v>8</v>
      </c>
      <c r="B84" t="str">
        <v>ESTACION PUENTE ANTES DE LA EBAR EPRIO</v>
      </c>
      <c r="C84">
        <v>0.18</v>
      </c>
      <c r="D84">
        <v>2024</v>
      </c>
      <c r="E84" s="61">
        <v>2022</v>
      </c>
      <c r="F84" s="61">
        <v>0.2</v>
      </c>
    </row>
    <row r="85" spans="1:6" x14ac:dyDescent="0.25">
      <c r="A85">
        <v>8</v>
      </c>
      <c r="B85" t="str">
        <v>ESTACION PUENTE ANTES DE LA EBAR EPRIO</v>
      </c>
      <c r="C85">
        <v>0.16</v>
      </c>
      <c r="D85">
        <v>2024</v>
      </c>
      <c r="E85" s="61">
        <v>2022</v>
      </c>
      <c r="F85" s="61">
        <v>0.2</v>
      </c>
    </row>
    <row r="86" spans="1:6" x14ac:dyDescent="0.25">
      <c r="A86">
        <v>8</v>
      </c>
      <c r="B86" t="str">
        <v>ESTACION PUENTE ANTES DE LA EBAR EPRIO</v>
      </c>
      <c r="C86">
        <v>1.3</v>
      </c>
      <c r="D86">
        <v>2024</v>
      </c>
      <c r="E86" s="61">
        <v>2022</v>
      </c>
      <c r="F86" s="61">
        <v>0.23</v>
      </c>
    </row>
    <row r="87" spans="1:6" x14ac:dyDescent="0.25">
      <c r="A87">
        <v>8</v>
      </c>
      <c r="B87" t="str">
        <v>ESTACION PUENTE ANTES DE LA EBAR EPRIO</v>
      </c>
      <c r="C87">
        <v>0.1</v>
      </c>
      <c r="D87">
        <v>2020</v>
      </c>
      <c r="E87" s="61">
        <v>2022</v>
      </c>
      <c r="F87" s="61">
        <v>0.2</v>
      </c>
    </row>
    <row r="88" spans="1:6" x14ac:dyDescent="0.25">
      <c r="A88">
        <v>8</v>
      </c>
      <c r="B88" t="str">
        <v>ESTACION PUENTE ANTES DE LA EBAR EPRIO</v>
      </c>
      <c r="C88">
        <v>0.4</v>
      </c>
      <c r="D88">
        <v>2020</v>
      </c>
      <c r="E88" s="61">
        <v>2022</v>
      </c>
      <c r="F88" s="61">
        <v>0.3</v>
      </c>
    </row>
    <row r="89" spans="1:6" x14ac:dyDescent="0.25">
      <c r="A89">
        <v>8</v>
      </c>
      <c r="B89" t="str">
        <v>ESTACION PUENTE ANTES DE LA EBAR EPRIO</v>
      </c>
      <c r="C89">
        <v>0.2</v>
      </c>
      <c r="D89">
        <v>2021</v>
      </c>
      <c r="E89" s="61">
        <v>2022</v>
      </c>
      <c r="F89" s="61">
        <v>0.12</v>
      </c>
    </row>
    <row r="90" spans="1:6" x14ac:dyDescent="0.25">
      <c r="A90">
        <v>8</v>
      </c>
      <c r="B90" t="str">
        <v>ESTACION PUENTE ANTES DE LA EBAR EPRIO</v>
      </c>
      <c r="C90">
        <v>0.1</v>
      </c>
      <c r="D90">
        <v>2019</v>
      </c>
      <c r="E90" s="61">
        <v>2022</v>
      </c>
      <c r="F90" s="61">
        <v>0.2</v>
      </c>
    </row>
    <row r="91" spans="1:6" x14ac:dyDescent="0.25">
      <c r="A91">
        <v>8</v>
      </c>
      <c r="B91" t="str">
        <v>ESTACION PUENTE ANTES DE LA EBAR EPRIO</v>
      </c>
      <c r="C91">
        <v>0.1</v>
      </c>
      <c r="D91">
        <v>2020</v>
      </c>
      <c r="E91" s="61">
        <v>2022</v>
      </c>
      <c r="F91" s="61">
        <v>0.3</v>
      </c>
    </row>
    <row r="92" spans="1:6" x14ac:dyDescent="0.25">
      <c r="A92">
        <v>8</v>
      </c>
      <c r="B92" t="str">
        <v>ESTACION PUENTE ANTES DE LA EBAR EPRIO</v>
      </c>
      <c r="C92">
        <v>0.14000000000000001</v>
      </c>
      <c r="D92">
        <v>2021</v>
      </c>
      <c r="E92" s="61">
        <v>2022</v>
      </c>
      <c r="F92" s="61">
        <v>0.22</v>
      </c>
    </row>
    <row r="93" spans="1:6" x14ac:dyDescent="0.25">
      <c r="A93">
        <v>8</v>
      </c>
      <c r="B93" t="str">
        <v>ESTACION PUENTE ANTES DE LA EBAR EPRIO</v>
      </c>
      <c r="C93">
        <v>0.2</v>
      </c>
      <c r="D93">
        <v>2021</v>
      </c>
      <c r="E93" s="61">
        <v>2022</v>
      </c>
      <c r="F93" s="61">
        <v>0.2</v>
      </c>
    </row>
    <row r="94" spans="1:6" x14ac:dyDescent="0.25">
      <c r="A94">
        <v>8</v>
      </c>
      <c r="B94" t="str">
        <v>ESTACION PUENTE ANTES DE LA EBAR EPRIO</v>
      </c>
      <c r="C94">
        <v>0.2</v>
      </c>
      <c r="D94">
        <v>2022</v>
      </c>
      <c r="E94" s="61">
        <v>2022</v>
      </c>
      <c r="F94" s="61">
        <v>0.1</v>
      </c>
    </row>
    <row r="95" spans="1:6" x14ac:dyDescent="0.25">
      <c r="A95">
        <v>8</v>
      </c>
      <c r="B95" t="str">
        <v>ESTACION PUENTE ANTES DE LA EBAR EPRIO</v>
      </c>
      <c r="C95">
        <v>0.3</v>
      </c>
      <c r="D95">
        <v>2022</v>
      </c>
      <c r="E95" s="61">
        <v>2022</v>
      </c>
      <c r="F95" s="61">
        <v>0.64</v>
      </c>
    </row>
    <row r="96" spans="1:6" x14ac:dyDescent="0.25">
      <c r="A96">
        <v>8</v>
      </c>
      <c r="B96" t="str">
        <v>ESTACION PUENTE ANTES DE LA EBAR EPRIO</v>
      </c>
      <c r="C96">
        <v>0.12</v>
      </c>
      <c r="D96">
        <v>2022</v>
      </c>
      <c r="E96" s="61">
        <v>2022</v>
      </c>
      <c r="F96" s="61">
        <v>0.3</v>
      </c>
    </row>
    <row r="97" spans="1:6" x14ac:dyDescent="0.25">
      <c r="A97">
        <v>8</v>
      </c>
      <c r="B97" t="str">
        <v>ESTACION PUENTE ANTES DE LA EBAR EPRIO</v>
      </c>
      <c r="C97">
        <v>0.2</v>
      </c>
      <c r="D97">
        <v>2023</v>
      </c>
      <c r="E97" s="61">
        <v>2022</v>
      </c>
      <c r="F97" s="61">
        <v>0.2</v>
      </c>
    </row>
    <row r="98" spans="1:6" x14ac:dyDescent="0.25">
      <c r="A98">
        <v>8</v>
      </c>
      <c r="B98" t="str">
        <v>ESTACION PUENTE ANTES DE LA EBAR EPRIO</v>
      </c>
      <c r="C98">
        <v>0.1</v>
      </c>
      <c r="D98">
        <v>2023</v>
      </c>
      <c r="E98" s="61">
        <v>2022</v>
      </c>
      <c r="F98" s="61">
        <v>0.16</v>
      </c>
    </row>
    <row r="99" spans="1:6" x14ac:dyDescent="0.25">
      <c r="A99">
        <v>8</v>
      </c>
      <c r="B99" t="str">
        <v>ESTACION PUENTE ANTES DE LA EBAR EPRIO</v>
      </c>
      <c r="C99">
        <v>0.04</v>
      </c>
      <c r="D99">
        <v>2023</v>
      </c>
      <c r="E99" s="61">
        <v>2022</v>
      </c>
      <c r="F99" s="61">
        <v>0.2</v>
      </c>
    </row>
    <row r="100" spans="1:6" x14ac:dyDescent="0.25">
      <c r="A100">
        <v>9</v>
      </c>
      <c r="B100" t="str">
        <v>ESTACION DESPUES DE LA DESCARGA DE LA PTARD MUNICIPIO DE RIONEGRO</v>
      </c>
      <c r="C100">
        <v>0.9</v>
      </c>
      <c r="D100">
        <v>2024</v>
      </c>
      <c r="E100" s="61">
        <v>2022</v>
      </c>
      <c r="F100" s="61">
        <v>0.3</v>
      </c>
    </row>
    <row r="101" spans="1:6" x14ac:dyDescent="0.25">
      <c r="A101">
        <v>9</v>
      </c>
      <c r="B101" t="str">
        <v>ESTACION DESPUES DE LA DESCARGA DE LA PTARD MUNICIPIO DE RIONEGRO</v>
      </c>
      <c r="C101">
        <v>0.24</v>
      </c>
      <c r="D101">
        <v>2024</v>
      </c>
      <c r="E101" s="61">
        <v>2022</v>
      </c>
      <c r="F101" s="61">
        <v>0.22</v>
      </c>
    </row>
    <row r="102" spans="1:6" x14ac:dyDescent="0.25">
      <c r="A102">
        <v>9</v>
      </c>
      <c r="B102" t="str">
        <v>ESTACION DESPUES DE LA DESCARGA DE LA PTARD MUNICIPIO DE RIONEGRO</v>
      </c>
      <c r="C102">
        <v>0.9</v>
      </c>
      <c r="D102">
        <v>2024</v>
      </c>
      <c r="E102" s="61">
        <v>2023</v>
      </c>
      <c r="F102" s="61">
        <v>0.08</v>
      </c>
    </row>
    <row r="103" spans="1:6" x14ac:dyDescent="0.25">
      <c r="A103">
        <v>9</v>
      </c>
      <c r="B103" t="str">
        <v>ESTACION DESPUES DE LA DESCARGA DE LA PTARD MUNICIPIO DE RIONEGRO</v>
      </c>
      <c r="C103">
        <v>0.3</v>
      </c>
      <c r="D103">
        <v>2021</v>
      </c>
      <c r="E103" s="61">
        <v>2023</v>
      </c>
      <c r="F103" s="61">
        <v>0.04</v>
      </c>
    </row>
    <row r="104" spans="1:6" x14ac:dyDescent="0.25">
      <c r="A104">
        <v>9</v>
      </c>
      <c r="B104" t="str">
        <v>ESTACION DESPUES DE LA DESCARGA DE LA PTARD MUNICIPIO DE RIONEGRO</v>
      </c>
      <c r="C104">
        <v>0.1</v>
      </c>
      <c r="D104">
        <v>2019</v>
      </c>
      <c r="E104" s="61">
        <v>2023</v>
      </c>
      <c r="F104" s="61">
        <v>0.08</v>
      </c>
    </row>
    <row r="105" spans="1:6" x14ac:dyDescent="0.25">
      <c r="A105">
        <v>9</v>
      </c>
      <c r="B105" t="str">
        <v>ESTACION DESPUES DE LA DESCARGA DE LA PTARD MUNICIPIO DE RIONEGRO</v>
      </c>
      <c r="C105">
        <v>0.5</v>
      </c>
      <c r="D105">
        <v>2020</v>
      </c>
      <c r="E105" s="61">
        <v>2023</v>
      </c>
      <c r="F105" s="61">
        <v>0.06</v>
      </c>
    </row>
    <row r="106" spans="1:6" x14ac:dyDescent="0.25">
      <c r="A106">
        <v>9</v>
      </c>
      <c r="B106" t="str">
        <v>ESTACION DESPUES DE LA DESCARGA DE LA PTARD MUNICIPIO DE RIONEGRO</v>
      </c>
      <c r="C106">
        <v>0.2</v>
      </c>
      <c r="D106">
        <v>2020</v>
      </c>
      <c r="E106" s="61">
        <v>2023</v>
      </c>
      <c r="F106" s="61">
        <v>0.04</v>
      </c>
    </row>
    <row r="107" spans="1:6" x14ac:dyDescent="0.25">
      <c r="A107">
        <v>9</v>
      </c>
      <c r="B107" t="str">
        <v>ESTACION DESPUES DE LA DESCARGA DE LA PTARD MUNICIPIO DE RIONEGRO</v>
      </c>
      <c r="C107">
        <v>0.2</v>
      </c>
      <c r="D107">
        <v>2021</v>
      </c>
      <c r="E107" s="61">
        <v>2023</v>
      </c>
      <c r="F107" s="61">
        <v>0.1</v>
      </c>
    </row>
    <row r="108" spans="1:6" x14ac:dyDescent="0.25">
      <c r="A108">
        <v>9</v>
      </c>
      <c r="B108" t="str">
        <v>ESTACION DESPUES DE LA DESCARGA DE LA PTARD MUNICIPIO DE RIONEGRO</v>
      </c>
      <c r="C108">
        <v>0.2</v>
      </c>
      <c r="D108">
        <v>2021</v>
      </c>
      <c r="E108" s="61">
        <v>2023</v>
      </c>
      <c r="F108" s="61">
        <v>0.06</v>
      </c>
    </row>
    <row r="109" spans="1:6" x14ac:dyDescent="0.25">
      <c r="A109">
        <v>9</v>
      </c>
      <c r="B109" t="str">
        <v>ESTACION DESPUES DE LA DESCARGA DE LA PTARD MUNICIPIO DE RIONEGRO</v>
      </c>
      <c r="C109">
        <v>0.2</v>
      </c>
      <c r="D109">
        <v>2022</v>
      </c>
      <c r="E109" s="61">
        <v>2023</v>
      </c>
      <c r="F109" s="61">
        <v>0.08</v>
      </c>
    </row>
    <row r="110" spans="1:6" x14ac:dyDescent="0.25">
      <c r="A110">
        <v>9</v>
      </c>
      <c r="B110" t="str">
        <v>ESTACION DESPUES DE LA DESCARGA DE LA PTARD MUNICIPIO DE RIONEGRO</v>
      </c>
      <c r="C110">
        <v>0.3</v>
      </c>
      <c r="D110">
        <v>2022</v>
      </c>
      <c r="E110" s="61">
        <v>2023</v>
      </c>
      <c r="F110" s="61">
        <v>0.08</v>
      </c>
    </row>
    <row r="111" spans="1:6" x14ac:dyDescent="0.25">
      <c r="A111">
        <v>9</v>
      </c>
      <c r="B111" t="str">
        <v>ESTACION DESPUES DE LA DESCARGA DE LA PTARD MUNICIPIO DE RIONEGRO</v>
      </c>
      <c r="C111">
        <v>0.22</v>
      </c>
      <c r="D111">
        <v>2022</v>
      </c>
      <c r="E111" s="61">
        <v>2023</v>
      </c>
      <c r="F111" s="61">
        <v>0.08</v>
      </c>
    </row>
    <row r="112" spans="1:6" x14ac:dyDescent="0.25">
      <c r="A112">
        <v>9</v>
      </c>
      <c r="B112" t="str">
        <v>ESTACION DESPUES DE LA DESCARGA DE LA PTARD MUNICIPIO DE RIONEGRO</v>
      </c>
      <c r="C112">
        <v>0.48</v>
      </c>
      <c r="D112">
        <v>2023</v>
      </c>
      <c r="E112" s="61">
        <v>2023</v>
      </c>
      <c r="F112" s="61">
        <v>0.04</v>
      </c>
    </row>
    <row r="113" spans="1:6" x14ac:dyDescent="0.25">
      <c r="A113">
        <v>9</v>
      </c>
      <c r="B113" t="str">
        <v>ESTACION DESPUES DE LA DESCARGA DE LA PTARD MUNICIPIO DE RIONEGRO</v>
      </c>
      <c r="C113">
        <v>0.16</v>
      </c>
      <c r="D113">
        <v>2023</v>
      </c>
      <c r="E113" s="61">
        <v>2023</v>
      </c>
      <c r="F113" s="61">
        <v>0.04</v>
      </c>
    </row>
    <row r="114" spans="1:6" x14ac:dyDescent="0.25">
      <c r="A114">
        <v>9</v>
      </c>
      <c r="B114" t="str">
        <v>ESTACION DESPUES DE LA DESCARGA DE LA PTARD MUNICIPIO DE RIONEGRO</v>
      </c>
      <c r="C114">
        <v>0.08</v>
      </c>
      <c r="D114">
        <v>2023</v>
      </c>
      <c r="E114" s="61">
        <v>2023</v>
      </c>
      <c r="F114" s="61">
        <v>0.12</v>
      </c>
    </row>
    <row r="115" spans="1:6" x14ac:dyDescent="0.25">
      <c r="A115">
        <v>10</v>
      </c>
      <c r="B115" t="str">
        <v>ESTACION PUENTE AUTOPISTA</v>
      </c>
      <c r="C115">
        <v>0.64</v>
      </c>
      <c r="D115">
        <v>2024</v>
      </c>
      <c r="E115" s="61">
        <v>2023</v>
      </c>
      <c r="F115" s="61">
        <v>0.04</v>
      </c>
    </row>
    <row r="116" spans="1:6" x14ac:dyDescent="0.25">
      <c r="A116">
        <v>10</v>
      </c>
      <c r="B116" t="str">
        <v>ESTACION PUENTE AUTOPISTA</v>
      </c>
      <c r="C116">
        <v>0.24</v>
      </c>
      <c r="D116">
        <v>2024</v>
      </c>
      <c r="E116" s="61">
        <v>2023</v>
      </c>
      <c r="F116" s="61">
        <v>0.02</v>
      </c>
    </row>
    <row r="117" spans="1:6" x14ac:dyDescent="0.25">
      <c r="A117">
        <v>10</v>
      </c>
      <c r="B117" t="str">
        <v>ESTACION PUENTE AUTOPISTA</v>
      </c>
      <c r="C117">
        <v>0.3</v>
      </c>
      <c r="D117">
        <v>2024</v>
      </c>
      <c r="E117" s="61">
        <v>2023</v>
      </c>
      <c r="F117" s="61">
        <v>0.2</v>
      </c>
    </row>
    <row r="118" spans="1:6" x14ac:dyDescent="0.25">
      <c r="A118">
        <v>10</v>
      </c>
      <c r="B118" t="str">
        <v>ESTACION PUENTE AUTOPISTA</v>
      </c>
      <c r="C118">
        <v>0.2</v>
      </c>
      <c r="D118">
        <v>2021</v>
      </c>
      <c r="E118" s="61">
        <v>2023</v>
      </c>
      <c r="F118" s="61">
        <v>0.1</v>
      </c>
    </row>
    <row r="119" spans="1:6" x14ac:dyDescent="0.25">
      <c r="A119">
        <v>10</v>
      </c>
      <c r="B119" t="str">
        <v>ESTACION PUENTE AUTOPISTA</v>
      </c>
      <c r="C119">
        <v>0.1</v>
      </c>
      <c r="D119">
        <v>2019</v>
      </c>
      <c r="E119" s="61">
        <v>2023</v>
      </c>
      <c r="F119" s="61">
        <v>0.04</v>
      </c>
    </row>
    <row r="120" spans="1:6" x14ac:dyDescent="0.25">
      <c r="A120">
        <v>10</v>
      </c>
      <c r="B120" t="str">
        <v>ESTACION PUENTE AUTOPISTA</v>
      </c>
      <c r="C120">
        <v>0.2</v>
      </c>
      <c r="D120">
        <v>2020</v>
      </c>
      <c r="E120" s="61">
        <v>2023</v>
      </c>
      <c r="F120" s="61">
        <v>0.48</v>
      </c>
    </row>
    <row r="121" spans="1:6" x14ac:dyDescent="0.25">
      <c r="A121">
        <v>10</v>
      </c>
      <c r="B121" t="str">
        <v>ESTACION PUENTE AUTOPISTA</v>
      </c>
      <c r="C121">
        <v>0.1</v>
      </c>
      <c r="D121">
        <v>2020</v>
      </c>
      <c r="E121" s="61">
        <v>2023</v>
      </c>
      <c r="F121" s="61">
        <v>0.16</v>
      </c>
    </row>
    <row r="122" spans="1:6" x14ac:dyDescent="0.25">
      <c r="A122">
        <v>10</v>
      </c>
      <c r="B122" t="str">
        <v>ESTACION PUENTE AUTOPISTA</v>
      </c>
      <c r="C122">
        <v>0.2</v>
      </c>
      <c r="D122">
        <v>2020</v>
      </c>
      <c r="E122" s="61">
        <v>2023</v>
      </c>
      <c r="F122" s="61">
        <v>0.08</v>
      </c>
    </row>
    <row r="123" spans="1:6" x14ac:dyDescent="0.25">
      <c r="A123">
        <v>10</v>
      </c>
      <c r="B123" t="str">
        <v>ESTACION PUENTE AUTOPISTA</v>
      </c>
      <c r="C123">
        <v>0.42</v>
      </c>
      <c r="D123">
        <v>2021</v>
      </c>
      <c r="E123" s="61">
        <v>2023</v>
      </c>
      <c r="F123" s="61">
        <v>0.7</v>
      </c>
    </row>
    <row r="124" spans="1:6" x14ac:dyDescent="0.25">
      <c r="A124">
        <v>10</v>
      </c>
      <c r="B124" t="str">
        <v>ESTACION PUENTE AUTOPISTA</v>
      </c>
      <c r="C124">
        <v>0.4</v>
      </c>
      <c r="D124">
        <v>2021</v>
      </c>
      <c r="E124" s="61">
        <v>2023</v>
      </c>
      <c r="F124" s="61">
        <v>0.28000000000000003</v>
      </c>
    </row>
    <row r="125" spans="1:6" x14ac:dyDescent="0.25">
      <c r="A125">
        <v>10</v>
      </c>
      <c r="B125" t="str">
        <v>ESTACION PUENTE AUTOPISTA</v>
      </c>
      <c r="C125">
        <v>0.2</v>
      </c>
      <c r="D125">
        <v>2022</v>
      </c>
      <c r="E125" s="61">
        <v>2023</v>
      </c>
      <c r="F125" s="61">
        <v>0.04</v>
      </c>
    </row>
    <row r="126" spans="1:6" x14ac:dyDescent="0.25">
      <c r="A126">
        <v>10</v>
      </c>
      <c r="B126" t="str">
        <v>ESTACION PUENTE AUTOPISTA</v>
      </c>
      <c r="C126">
        <v>0.1</v>
      </c>
      <c r="D126">
        <v>2022</v>
      </c>
      <c r="E126" s="61">
        <v>2023</v>
      </c>
      <c r="F126" s="61">
        <v>0.46</v>
      </c>
    </row>
    <row r="127" spans="1:6" x14ac:dyDescent="0.25">
      <c r="A127">
        <v>10</v>
      </c>
      <c r="B127" t="str">
        <v>ESTACION PUENTE AUTOPISTA</v>
      </c>
      <c r="C127">
        <v>0.64</v>
      </c>
      <c r="D127">
        <v>2022</v>
      </c>
      <c r="E127" s="61">
        <v>2023</v>
      </c>
      <c r="F127" s="61">
        <v>0.32</v>
      </c>
    </row>
    <row r="128" spans="1:6" x14ac:dyDescent="0.25">
      <c r="A128">
        <v>10</v>
      </c>
      <c r="B128" t="str">
        <v>ESTACION PUENTE AUTOPISTA</v>
      </c>
      <c r="C128">
        <v>0.7</v>
      </c>
      <c r="D128">
        <v>2023</v>
      </c>
      <c r="E128" s="61">
        <v>2023</v>
      </c>
      <c r="F128" s="61">
        <v>0.04</v>
      </c>
    </row>
    <row r="129" spans="1:6" x14ac:dyDescent="0.25">
      <c r="A129">
        <v>10</v>
      </c>
      <c r="B129" t="str">
        <v>ESTACION PUENTE AUTOPISTA</v>
      </c>
      <c r="C129">
        <v>0.28000000000000003</v>
      </c>
      <c r="D129">
        <v>2023</v>
      </c>
      <c r="E129" s="61">
        <v>2023</v>
      </c>
      <c r="F129" s="61">
        <v>0.32</v>
      </c>
    </row>
    <row r="130" spans="1:6" x14ac:dyDescent="0.25">
      <c r="A130">
        <v>10</v>
      </c>
      <c r="B130" t="str">
        <v>ESTACION PUENTE AUTOPISTA</v>
      </c>
      <c r="C130">
        <v>0.04</v>
      </c>
      <c r="D130">
        <v>2023</v>
      </c>
      <c r="E130" s="61">
        <v>2023</v>
      </c>
      <c r="F130" s="61">
        <v>0.24</v>
      </c>
    </row>
    <row r="131" spans="1:6" x14ac:dyDescent="0.25">
      <c r="A131">
        <v>11</v>
      </c>
      <c r="B131" t="str">
        <v>ESTACION LA FRESERA</v>
      </c>
      <c r="C131">
        <v>0.28000000000000003</v>
      </c>
      <c r="D131">
        <v>2024</v>
      </c>
      <c r="E131" s="61">
        <v>2023</v>
      </c>
      <c r="F131" s="61">
        <v>0.06</v>
      </c>
    </row>
    <row r="132" spans="1:6" x14ac:dyDescent="0.25">
      <c r="A132">
        <v>11</v>
      </c>
      <c r="B132" t="str">
        <v>ESTACION LA FRESERA</v>
      </c>
      <c r="C132">
        <v>1.1000000000000001</v>
      </c>
      <c r="D132">
        <v>2024</v>
      </c>
      <c r="E132" s="61">
        <v>2024</v>
      </c>
      <c r="F132" s="61">
        <v>0.3</v>
      </c>
    </row>
    <row r="133" spans="1:6" x14ac:dyDescent="0.25">
      <c r="A133">
        <v>11</v>
      </c>
      <c r="B133" t="str">
        <v>ESTACION LA FRESERA</v>
      </c>
      <c r="C133">
        <v>0.44</v>
      </c>
      <c r="D133">
        <v>2024</v>
      </c>
      <c r="E133" s="61">
        <v>2024</v>
      </c>
      <c r="F133" s="61">
        <v>0.18</v>
      </c>
    </row>
    <row r="134" spans="1:6" x14ac:dyDescent="0.25">
      <c r="A134">
        <v>11</v>
      </c>
      <c r="B134" t="str">
        <v>ESTACION LA FRESERA</v>
      </c>
      <c r="C134">
        <v>0.1</v>
      </c>
      <c r="D134">
        <v>2020</v>
      </c>
      <c r="E134" s="61">
        <v>2024</v>
      </c>
      <c r="F134" s="61">
        <v>0.2</v>
      </c>
    </row>
    <row r="135" spans="1:6" x14ac:dyDescent="0.25">
      <c r="A135">
        <v>11</v>
      </c>
      <c r="B135" t="str">
        <v>ESTACION LA FRESERA</v>
      </c>
      <c r="C135">
        <v>0.2</v>
      </c>
      <c r="D135">
        <v>2020</v>
      </c>
      <c r="E135" s="61">
        <v>2024</v>
      </c>
      <c r="F135" s="61">
        <v>0.12</v>
      </c>
    </row>
    <row r="136" spans="1:6" x14ac:dyDescent="0.25">
      <c r="A136">
        <v>11</v>
      </c>
      <c r="B136" t="str">
        <v>ESTACION LA FRESERA</v>
      </c>
      <c r="C136">
        <v>0.1</v>
      </c>
      <c r="D136">
        <v>2021</v>
      </c>
      <c r="E136" s="61">
        <v>2024</v>
      </c>
      <c r="F136" s="61">
        <v>0.12</v>
      </c>
    </row>
    <row r="137" spans="1:6" x14ac:dyDescent="0.25">
      <c r="A137">
        <v>11</v>
      </c>
      <c r="B137" t="str">
        <v>ESTACION LA FRESERA</v>
      </c>
      <c r="C137">
        <v>0.1</v>
      </c>
      <c r="D137">
        <v>2019</v>
      </c>
      <c r="E137" s="61">
        <v>2024</v>
      </c>
      <c r="F137" s="61">
        <v>1.7</v>
      </c>
    </row>
    <row r="138" spans="1:6" x14ac:dyDescent="0.25">
      <c r="A138">
        <v>11</v>
      </c>
      <c r="B138" t="str">
        <v>ESTACION LA FRESERA</v>
      </c>
      <c r="C138">
        <v>0.4</v>
      </c>
      <c r="D138">
        <v>2020</v>
      </c>
      <c r="E138" s="61">
        <v>2024</v>
      </c>
      <c r="F138" s="61">
        <v>0.18</v>
      </c>
    </row>
    <row r="139" spans="1:6" x14ac:dyDescent="0.25">
      <c r="A139">
        <v>11</v>
      </c>
      <c r="B139" t="str">
        <v>ESTACION LA FRESERA</v>
      </c>
      <c r="C139">
        <v>0.7</v>
      </c>
      <c r="D139">
        <v>2021</v>
      </c>
      <c r="E139" s="61">
        <v>2024</v>
      </c>
      <c r="F139" s="61">
        <v>0.18</v>
      </c>
    </row>
    <row r="140" spans="1:6" x14ac:dyDescent="0.25">
      <c r="A140">
        <v>11</v>
      </c>
      <c r="B140" t="str">
        <v>ESTACION LA FRESERA</v>
      </c>
      <c r="C140">
        <v>0.1</v>
      </c>
      <c r="D140">
        <v>2021</v>
      </c>
      <c r="E140" s="61">
        <v>2024</v>
      </c>
      <c r="F140" s="61">
        <v>1.18</v>
      </c>
    </row>
    <row r="141" spans="1:6" x14ac:dyDescent="0.25">
      <c r="A141">
        <v>11</v>
      </c>
      <c r="B141" t="str">
        <v>ESTACION LA FRESERA</v>
      </c>
      <c r="C141">
        <v>0.3</v>
      </c>
      <c r="D141">
        <v>2022</v>
      </c>
      <c r="E141" s="61">
        <v>2024</v>
      </c>
      <c r="F141" s="61">
        <v>0.14000000000000001</v>
      </c>
    </row>
    <row r="142" spans="1:6" x14ac:dyDescent="0.25">
      <c r="A142">
        <v>11</v>
      </c>
      <c r="B142" t="str">
        <v>ESTACION LA FRESERA</v>
      </c>
      <c r="C142">
        <v>0.2</v>
      </c>
      <c r="D142">
        <v>2022</v>
      </c>
      <c r="E142" s="61">
        <v>2024</v>
      </c>
      <c r="F142" s="61">
        <v>0.18</v>
      </c>
    </row>
    <row r="143" spans="1:6" x14ac:dyDescent="0.25">
      <c r="A143">
        <v>11</v>
      </c>
      <c r="B143" t="str">
        <v>ESTACION LA FRESERA</v>
      </c>
      <c r="C143">
        <v>0.16</v>
      </c>
      <c r="D143">
        <v>2022</v>
      </c>
      <c r="E143" s="61">
        <v>2024</v>
      </c>
      <c r="F143" s="61">
        <v>1.6</v>
      </c>
    </row>
    <row r="144" spans="1:6" x14ac:dyDescent="0.25">
      <c r="A144">
        <v>11</v>
      </c>
      <c r="B144" t="str">
        <v>ESTACION LA FRESERA</v>
      </c>
      <c r="C144">
        <v>0.46</v>
      </c>
      <c r="D144">
        <v>2023</v>
      </c>
      <c r="E144" s="61">
        <v>2024</v>
      </c>
      <c r="F144" s="61">
        <v>0.32</v>
      </c>
    </row>
    <row r="145" spans="1:6" x14ac:dyDescent="0.25">
      <c r="A145">
        <v>11</v>
      </c>
      <c r="B145" t="str">
        <v>ESTACION LA FRESERA</v>
      </c>
      <c r="C145">
        <v>0.32</v>
      </c>
      <c r="D145">
        <v>2023</v>
      </c>
      <c r="E145" s="61">
        <v>2024</v>
      </c>
      <c r="F145" s="61">
        <v>0.18</v>
      </c>
    </row>
    <row r="146" spans="1:6" x14ac:dyDescent="0.25">
      <c r="A146">
        <v>11</v>
      </c>
      <c r="B146" t="str">
        <v>ESTACION LA FRESERA</v>
      </c>
      <c r="C146">
        <v>0.04</v>
      </c>
      <c r="D146">
        <v>2023</v>
      </c>
      <c r="E146" s="61">
        <v>2024</v>
      </c>
      <c r="F146" s="61">
        <v>1.1200000000000001</v>
      </c>
    </row>
    <row r="147" spans="1:6" x14ac:dyDescent="0.25">
      <c r="A147">
        <v>12</v>
      </c>
      <c r="B147" t="str">
        <v>ESTACION RIO ABAJO</v>
      </c>
      <c r="C147">
        <v>0.24</v>
      </c>
      <c r="D147">
        <v>2024</v>
      </c>
      <c r="E147" s="61">
        <v>2024</v>
      </c>
      <c r="F147" s="61">
        <v>0.18</v>
      </c>
    </row>
    <row r="148" spans="1:6" x14ac:dyDescent="0.25">
      <c r="A148">
        <v>12</v>
      </c>
      <c r="B148" t="str">
        <v>ESTACION RIO ABAJO</v>
      </c>
      <c r="C148">
        <v>0.34</v>
      </c>
      <c r="D148">
        <v>2024</v>
      </c>
      <c r="E148" s="61">
        <v>2024</v>
      </c>
      <c r="F148" s="61">
        <v>0.16</v>
      </c>
    </row>
    <row r="149" spans="1:6" x14ac:dyDescent="0.25">
      <c r="A149">
        <v>12</v>
      </c>
      <c r="B149" t="str">
        <v>ESTACION RIO ABAJO</v>
      </c>
      <c r="C149">
        <v>0.48</v>
      </c>
      <c r="D149">
        <v>2024</v>
      </c>
      <c r="E149" s="61">
        <v>2024</v>
      </c>
      <c r="F149" s="61">
        <v>1.3</v>
      </c>
    </row>
    <row r="150" spans="1:6" x14ac:dyDescent="0.25">
      <c r="A150">
        <v>12</v>
      </c>
      <c r="B150" t="str">
        <v>ESTACION RIO ABAJO</v>
      </c>
      <c r="C150">
        <v>0.2</v>
      </c>
      <c r="D150">
        <v>2020</v>
      </c>
      <c r="E150" s="61">
        <v>2024</v>
      </c>
      <c r="F150" s="61">
        <v>0.9</v>
      </c>
    </row>
    <row r="151" spans="1:6" x14ac:dyDescent="0.25">
      <c r="A151">
        <v>12</v>
      </c>
      <c r="B151" t="str">
        <v>ESTACION RIO ABAJO</v>
      </c>
      <c r="C151">
        <v>0.4</v>
      </c>
      <c r="D151">
        <v>2021</v>
      </c>
      <c r="E151" s="61">
        <v>2024</v>
      </c>
      <c r="F151" s="61">
        <v>0.24</v>
      </c>
    </row>
    <row r="152" spans="1:6" x14ac:dyDescent="0.25">
      <c r="A152">
        <v>12</v>
      </c>
      <c r="B152" t="str">
        <v>ESTACION RIO ABAJO</v>
      </c>
      <c r="C152">
        <v>0.1</v>
      </c>
      <c r="D152">
        <v>2019</v>
      </c>
      <c r="E152" s="61">
        <v>2024</v>
      </c>
      <c r="F152" s="61">
        <v>0.9</v>
      </c>
    </row>
    <row r="153" spans="1:6" x14ac:dyDescent="0.25">
      <c r="A153">
        <v>12</v>
      </c>
      <c r="B153" t="str">
        <v>ESTACION RIO ABAJO</v>
      </c>
      <c r="C153">
        <v>0.3</v>
      </c>
      <c r="D153">
        <v>2020</v>
      </c>
      <c r="E153" s="61">
        <v>2024</v>
      </c>
      <c r="F153" s="61">
        <v>0.64</v>
      </c>
    </row>
    <row r="154" spans="1:6" x14ac:dyDescent="0.25">
      <c r="A154">
        <v>12</v>
      </c>
      <c r="B154" t="str">
        <v>ESTACION RIO ABAJO</v>
      </c>
      <c r="C154">
        <v>0.26</v>
      </c>
      <c r="D154">
        <v>2021</v>
      </c>
      <c r="E154" s="61">
        <v>2024</v>
      </c>
      <c r="F154" s="61">
        <v>0.24</v>
      </c>
    </row>
    <row r="155" spans="1:6" x14ac:dyDescent="0.25">
      <c r="A155">
        <v>12</v>
      </c>
      <c r="B155" t="str">
        <v>ESTACION RIO ABAJO</v>
      </c>
      <c r="C155">
        <v>0.2</v>
      </c>
      <c r="D155">
        <v>2021</v>
      </c>
      <c r="E155" s="61">
        <v>2024</v>
      </c>
      <c r="F155" s="61">
        <v>0.3</v>
      </c>
    </row>
    <row r="156" spans="1:6" x14ac:dyDescent="0.25">
      <c r="A156">
        <v>12</v>
      </c>
      <c r="B156" t="str">
        <v>ESTACION RIO ABAJO</v>
      </c>
      <c r="C156">
        <v>0.2</v>
      </c>
      <c r="D156">
        <v>2022</v>
      </c>
      <c r="E156" s="61">
        <v>2024</v>
      </c>
      <c r="F156" s="61">
        <v>0.28000000000000003</v>
      </c>
    </row>
    <row r="157" spans="1:6" x14ac:dyDescent="0.25">
      <c r="A157">
        <v>12</v>
      </c>
      <c r="B157" t="str">
        <v>ESTACION RIO ABAJO</v>
      </c>
      <c r="C157">
        <v>0.3</v>
      </c>
      <c r="D157">
        <v>2022</v>
      </c>
      <c r="E157" s="61">
        <v>2024</v>
      </c>
      <c r="F157" s="61">
        <v>1.1000000000000001</v>
      </c>
    </row>
    <row r="158" spans="1:6" x14ac:dyDescent="0.25">
      <c r="A158">
        <v>12</v>
      </c>
      <c r="B158" t="str">
        <v>ESTACION RIO ABAJO</v>
      </c>
      <c r="C158">
        <v>0.22</v>
      </c>
      <c r="D158">
        <v>2022</v>
      </c>
      <c r="E158" s="61">
        <v>2024</v>
      </c>
      <c r="F158" s="61">
        <v>0.44</v>
      </c>
    </row>
    <row r="159" spans="1:6" x14ac:dyDescent="0.25">
      <c r="A159">
        <v>12</v>
      </c>
      <c r="B159" t="str">
        <v>ESTACION RIO ABAJO</v>
      </c>
      <c r="C159">
        <v>0.32</v>
      </c>
      <c r="D159">
        <v>2023</v>
      </c>
      <c r="E159" s="61">
        <v>2024</v>
      </c>
      <c r="F159" s="61">
        <v>0.24</v>
      </c>
    </row>
    <row r="160" spans="1:6" x14ac:dyDescent="0.25">
      <c r="A160">
        <v>12</v>
      </c>
      <c r="B160" t="str">
        <v>ESTACION RIO ABAJO</v>
      </c>
      <c r="C160">
        <v>0.24</v>
      </c>
      <c r="D160">
        <v>2023</v>
      </c>
      <c r="E160" s="61">
        <v>2024</v>
      </c>
      <c r="F160" s="61">
        <v>0.34</v>
      </c>
    </row>
    <row r="161" spans="1:6" x14ac:dyDescent="0.25">
      <c r="A161">
        <v>12</v>
      </c>
      <c r="B161" t="str">
        <v>ESTACION RIO ABAJO</v>
      </c>
      <c r="C161">
        <v>0.06</v>
      </c>
      <c r="D161">
        <v>2023</v>
      </c>
      <c r="E161" s="61">
        <v>2024</v>
      </c>
      <c r="F161" s="61">
        <v>0.48</v>
      </c>
    </row>
  </sheetData>
  <autoFilter ref="E3:F3" xr:uid="{CD8E6033-4EFF-422E-8B2D-FFB42D6E201F}">
    <sortState xmlns:xlrd2="http://schemas.microsoft.com/office/spreadsheetml/2017/richdata2" ref="E4:F161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BBE8-558E-42E3-AAF3-A2DCDA9F94DC}">
  <sheetPr>
    <tabColor theme="4"/>
  </sheetPr>
  <dimension ref="A2:Y161"/>
  <sheetViews>
    <sheetView zoomScale="80" zoomScaleNormal="80" workbookViewId="0">
      <selection activeCell="S31" sqref="S3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121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λ=436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PUENTE LARGA</v>
      </c>
      <c r="C4" cm="1">
        <f t="array" ref="C4:C67">_xlfn._xlws.FILTER(CHOOSE(3,'Resultados historicos'!C:C,'Resultados historicos'!D:D,'Resultados historicos'!O:O,'Resultados historicos'!A:A),'Resultados historicos'!H:H=A2)</f>
        <v>0.3</v>
      </c>
      <c r="D4" cm="1">
        <f t="array" ref="D4:D67">_xlfn._xlws.FILTER(CHOOSE(4,'Resultados historicos'!C:C,'Resultados historicos'!D:D,'Resultados historicos'!O:O,'Resultados historicos'!A:A),'Resultados historicos'!H:H=A2)</f>
        <v>2019</v>
      </c>
      <c r="E4" s="61">
        <v>2019</v>
      </c>
      <c r="F4" s="61">
        <v>0.3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PUENTE LARGA</v>
      </c>
      <c r="C5">
        <v>0.4</v>
      </c>
      <c r="D5">
        <v>2020</v>
      </c>
      <c r="E5" s="61">
        <v>2019</v>
      </c>
      <c r="F5" s="61">
        <v>0.9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PUENTE LARGA</v>
      </c>
      <c r="C6">
        <v>0.3</v>
      </c>
      <c r="D6">
        <v>2020</v>
      </c>
      <c r="E6" s="61">
        <v>2019</v>
      </c>
      <c r="F6" s="61">
        <v>0.5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PUENTE LARGA</v>
      </c>
      <c r="C7">
        <v>0.5</v>
      </c>
      <c r="D7">
        <v>2020</v>
      </c>
      <c r="E7" s="61">
        <v>2019</v>
      </c>
      <c r="F7" s="61">
        <v>1.8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PUENTE LARGA</v>
      </c>
      <c r="C8">
        <v>0.54</v>
      </c>
      <c r="D8">
        <v>2021</v>
      </c>
      <c r="E8" s="61">
        <v>2020</v>
      </c>
      <c r="F8" s="61">
        <v>0.4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PUENTE LARGA</v>
      </c>
      <c r="C9">
        <v>0.5</v>
      </c>
      <c r="D9">
        <v>2021</v>
      </c>
      <c r="E9" s="61">
        <v>2020</v>
      </c>
      <c r="F9" s="61">
        <v>0.3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PUENTE LARGA</v>
      </c>
      <c r="C10">
        <v>0.5</v>
      </c>
      <c r="D10">
        <v>2021</v>
      </c>
      <c r="E10" s="61">
        <v>2020</v>
      </c>
      <c r="F10" s="61">
        <v>0.5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PUENTE LARGA</v>
      </c>
      <c r="C11">
        <v>0.98</v>
      </c>
      <c r="D11">
        <v>2022</v>
      </c>
      <c r="E11" s="61">
        <v>2020</v>
      </c>
      <c r="F11" s="61">
        <v>1.1000000000000001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PUENTE LARGA</v>
      </c>
      <c r="C12">
        <v>0.38</v>
      </c>
      <c r="D12">
        <v>2022</v>
      </c>
      <c r="E12" s="61">
        <v>2020</v>
      </c>
      <c r="F12" s="61">
        <v>0.4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PUENTE LARGA</v>
      </c>
      <c r="C13">
        <v>0.4</v>
      </c>
      <c r="D13">
        <v>2022</v>
      </c>
      <c r="E13" s="61">
        <v>2020</v>
      </c>
      <c r="F13" s="61">
        <v>0.7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PUENTE LARGA</v>
      </c>
      <c r="C14">
        <v>0.56000000000000005</v>
      </c>
      <c r="D14">
        <v>2023</v>
      </c>
      <c r="E14" s="61">
        <v>2020</v>
      </c>
      <c r="F14" s="61">
        <v>1.1000000000000001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PUENTE LARGA</v>
      </c>
      <c r="C15">
        <v>0.34</v>
      </c>
      <c r="D15">
        <v>2023</v>
      </c>
      <c r="E15" s="61">
        <v>2020</v>
      </c>
      <c r="F15" s="61">
        <v>0.6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PUENTE LARGA</v>
      </c>
      <c r="C16">
        <v>0.76</v>
      </c>
      <c r="D16">
        <v>2023</v>
      </c>
      <c r="E16" s="61">
        <v>2020</v>
      </c>
      <c r="F16" s="61">
        <v>0.8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PUENTE LARGA</v>
      </c>
      <c r="C17">
        <v>0.62</v>
      </c>
      <c r="D17">
        <v>2024</v>
      </c>
      <c r="E17" s="61">
        <v>2020</v>
      </c>
      <c r="F17" s="61">
        <v>4.3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PUENTE LARGA</v>
      </c>
      <c r="C18">
        <v>0.52</v>
      </c>
      <c r="D18">
        <v>2024</v>
      </c>
      <c r="E18" s="61">
        <v>2020</v>
      </c>
      <c r="F18" s="61">
        <v>0.9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PUENTE LARGA</v>
      </c>
      <c r="C19">
        <v>0.32</v>
      </c>
      <c r="D19">
        <v>2024</v>
      </c>
      <c r="E19" s="61">
        <v>2020</v>
      </c>
      <c r="F19" s="61">
        <v>1.9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FLOR SILVESTRE</v>
      </c>
      <c r="C20">
        <v>0.9</v>
      </c>
      <c r="D20">
        <v>2019</v>
      </c>
      <c r="E20" s="61">
        <v>2021</v>
      </c>
      <c r="F20" s="61">
        <v>0.54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FLOR SILVESTRE</v>
      </c>
      <c r="C21">
        <v>1.1000000000000001</v>
      </c>
      <c r="D21">
        <v>2020</v>
      </c>
      <c r="E21" s="61">
        <v>2021</v>
      </c>
      <c r="F21" s="61">
        <v>0.5</v>
      </c>
      <c r="H21" s="131"/>
      <c r="I21" s="131"/>
      <c r="J21" s="131"/>
      <c r="K21" s="131"/>
      <c r="L21" s="131"/>
      <c r="M21" s="131"/>
      <c r="N21" s="131"/>
      <c r="O21" s="133" t="str">
        <f>H30</f>
        <v>λ=436 (m⁻¹)</v>
      </c>
      <c r="P21" s="133"/>
      <c r="Q21" s="133"/>
      <c r="R21" s="133"/>
      <c r="S21" s="133"/>
      <c r="T21" s="133"/>
      <c r="W21" s="134" t="str">
        <f>O21</f>
        <v>λ=436 (m⁻¹)</v>
      </c>
      <c r="X21" s="134"/>
      <c r="Y21" s="134"/>
    </row>
    <row r="22" spans="1:25" x14ac:dyDescent="0.25">
      <c r="A22">
        <v>2</v>
      </c>
      <c r="B22" t="str">
        <v>ESTACION FLOR SILVESTRE</v>
      </c>
      <c r="C22">
        <v>0.4</v>
      </c>
      <c r="D22">
        <v>2020</v>
      </c>
      <c r="E22" s="61">
        <v>2021</v>
      </c>
      <c r="F22" s="61">
        <v>0.5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FLOR SILVESTRE</v>
      </c>
      <c r="C23">
        <v>0.7</v>
      </c>
      <c r="D23">
        <v>2020</v>
      </c>
      <c r="E23" s="61">
        <v>2021</v>
      </c>
      <c r="F23" s="61">
        <v>2.2200000000000002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0.3</v>
      </c>
      <c r="R23" s="10">
        <f t="shared" ref="R23:R28" si="2">SUMIFS(_xlfn.ANCHORARRAY($C$4),_xlfn.ANCHORARRAY($D$4),O23)/P23</f>
        <v>0.875</v>
      </c>
      <c r="S23" s="10">
        <f t="shared" ref="S23:S28" si="3">_xlfn.MAXIFS(_xlfn.ANCHORARRAY($C$4),_xlfn.ANCHORARRAY($D$4),O23)</f>
        <v>1.8</v>
      </c>
      <c r="T23" s="10" cm="1">
        <f t="array" ref="T23">_xlfn.STDEV.S(_xlfn._xlws.FILTER(_xlfn.ANCHORARRAY($C$4),_xlfn.ANCHORARRAY($D$4)=O23))</f>
        <v>0.66520673478250369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FLOR SILVESTRE</v>
      </c>
      <c r="C24">
        <v>2.2200000000000002</v>
      </c>
      <c r="D24">
        <v>2021</v>
      </c>
      <c r="E24" s="61">
        <v>2021</v>
      </c>
      <c r="F24" s="61">
        <v>0.5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0.3</v>
      </c>
      <c r="R24" s="10">
        <f t="shared" si="2"/>
        <v>1.0833333333333333</v>
      </c>
      <c r="S24" s="10">
        <f t="shared" si="3"/>
        <v>4.3</v>
      </c>
      <c r="T24" s="10" cm="1">
        <f t="array" ref="T24">_xlfn.STDEV.S(_xlfn._xlws.FILTER(_xlfn.ANCHORARRAY($C$4),_xlfn.ANCHORARRAY($D$4)=O24))</f>
        <v>1.103575456359368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FLOR SILVESTRE</v>
      </c>
      <c r="C25">
        <v>0.5</v>
      </c>
      <c r="D25">
        <v>2021</v>
      </c>
      <c r="E25" s="61">
        <v>2021</v>
      </c>
      <c r="F25" s="61">
        <v>1.04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0.5</v>
      </c>
      <c r="R25" s="10">
        <f t="shared" si="2"/>
        <v>1.2208333333333332</v>
      </c>
      <c r="S25" s="10">
        <f t="shared" si="3"/>
        <v>3.83</v>
      </c>
      <c r="T25" s="10" cm="1">
        <f t="array" ref="T25">_xlfn.STDEV.S(_xlfn._xlws.FILTER(_xlfn.ANCHORARRAY($C$4),_xlfn.ANCHORARRAY($D$4)=O25))</f>
        <v>1.000694834360182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FLOR SILVESTRE</v>
      </c>
      <c r="C26">
        <v>1.04</v>
      </c>
      <c r="D26">
        <v>2021</v>
      </c>
      <c r="E26" s="61">
        <v>2021</v>
      </c>
      <c r="F26" s="61">
        <v>0.64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0.38</v>
      </c>
      <c r="R26" s="10">
        <f t="shared" si="2"/>
        <v>0.99416666666666664</v>
      </c>
      <c r="S26" s="10">
        <f t="shared" si="3"/>
        <v>2.08</v>
      </c>
      <c r="T26" s="10" cm="1">
        <f t="array" ref="T26">_xlfn.STDEV.S(_xlfn._xlws.FILTER(_xlfn.ANCHORARRAY($C$4),_xlfn.ANCHORARRAY($D$4)=O26))</f>
        <v>0.6264830888428361</v>
      </c>
      <c r="V26" t="s">
        <v>565</v>
      </c>
      <c r="W26" s="1" t="str">
        <f>TEXT(R29,"0,00")&amp;" ± "&amp;TEXT((W25*T29/SQRT(P29)),"0,00")</f>
        <v>1,12 ± 0,19</v>
      </c>
      <c r="X26" s="1" t="str">
        <f>TEXT(R29,"0,00")&amp;" ± "&amp;TEXT((X25*T29/SQRT(P29)),"0,00")</f>
        <v>1,12 ± 0,22</v>
      </c>
      <c r="Y26" s="1" t="str">
        <f>TEXT(R29,"0,00")&amp;" ± "&amp;TEXT((Y25*T29/SQRT(P29)),"0,00")</f>
        <v>1,12 ± 0,29</v>
      </c>
    </row>
    <row r="27" spans="1:25" x14ac:dyDescent="0.25">
      <c r="A27">
        <v>2</v>
      </c>
      <c r="B27" t="str">
        <v>ESTACION FLOR SILVESTRE</v>
      </c>
      <c r="C27">
        <v>2.08</v>
      </c>
      <c r="D27">
        <v>2022</v>
      </c>
      <c r="E27" s="61">
        <v>2021</v>
      </c>
      <c r="F27" s="61">
        <v>1.1000000000000001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0.34</v>
      </c>
      <c r="R27" s="10">
        <f t="shared" si="2"/>
        <v>1.2266666666666668</v>
      </c>
      <c r="S27" s="10">
        <f t="shared" si="3"/>
        <v>3.04</v>
      </c>
      <c r="T27" s="10" cm="1">
        <f t="array" ref="T27">_xlfn.STDEV.S(_xlfn._xlws.FILTER(_xlfn.ANCHORARRAY($C$4),_xlfn.ANCHORARRAY($D$4)=O27))</f>
        <v>0.90791803127548432</v>
      </c>
      <c r="V27" t="s">
        <v>566</v>
      </c>
      <c r="W27" s="10">
        <f>R29-(W25*T29/SQRT(P29))</f>
        <v>0.93533016180345219</v>
      </c>
      <c r="X27" s="10">
        <f>R29-(X25*T29/SQRT(P29))</f>
        <v>0.89953324851439997</v>
      </c>
      <c r="Y27" s="10">
        <f>R29-(Y25*T29/SQRT(P29))</f>
        <v>0.82957021210073134</v>
      </c>
    </row>
    <row r="28" spans="1:25" x14ac:dyDescent="0.25">
      <c r="A28">
        <v>2</v>
      </c>
      <c r="B28" t="str">
        <v>ESTACION FLOR SILVESTRE</v>
      </c>
      <c r="C28">
        <v>0.4</v>
      </c>
      <c r="D28">
        <v>2022</v>
      </c>
      <c r="E28" s="61">
        <v>2021</v>
      </c>
      <c r="F28" s="61">
        <v>0.8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0.32</v>
      </c>
      <c r="R28" s="10">
        <f t="shared" si="2"/>
        <v>1.1683333333333332</v>
      </c>
      <c r="S28" s="10">
        <f t="shared" si="3"/>
        <v>3.88</v>
      </c>
      <c r="T28" s="10" cm="1">
        <f t="array" ref="T28">_xlfn.STDEV.S(_xlfn._xlws.FILTER(_xlfn.ANCHORARRAY($C$4),_xlfn.ANCHORARRAY($D$4)=O28))</f>
        <v>1.0521478753080062</v>
      </c>
      <c r="V28" t="s">
        <v>567</v>
      </c>
      <c r="W28" s="10">
        <f>R29+(W25*T29/SQRT(P29))</f>
        <v>1.3090448381965472</v>
      </c>
      <c r="X28" s="10">
        <f>R29+(X25*T29/SQRT(P29))</f>
        <v>1.3448417514855993</v>
      </c>
      <c r="Y28" s="10">
        <f>R29+(Y25*T29/SQRT(P29))</f>
        <v>1.414804787899268</v>
      </c>
    </row>
    <row r="29" spans="1:25" x14ac:dyDescent="0.25">
      <c r="A29">
        <v>2</v>
      </c>
      <c r="B29" t="str">
        <v>ESTACION FLOR SILVESTRE</v>
      </c>
      <c r="C29">
        <v>0.66</v>
      </c>
      <c r="D29">
        <v>2022</v>
      </c>
      <c r="E29" s="61">
        <v>2021</v>
      </c>
      <c r="F29" s="61">
        <v>3.83</v>
      </c>
      <c r="O29" t="s">
        <v>568</v>
      </c>
      <c r="P29" s="1">
        <f>SUM(P23:P28)</f>
        <v>64</v>
      </c>
      <c r="R29" s="10">
        <f>AVERAGE(_xlfn.ANCHORARRAY(C4))</f>
        <v>1.1221874999999997</v>
      </c>
      <c r="T29" s="10">
        <f>_xlfn.STDEV.S(_xlfn.ANCHORARRAY(C4))</f>
        <v>0.90880956279551284</v>
      </c>
    </row>
    <row r="30" spans="1:25" x14ac:dyDescent="0.25">
      <c r="A30">
        <v>2</v>
      </c>
      <c r="B30" t="str">
        <v>ESTACION FLOR SILVESTRE</v>
      </c>
      <c r="C30">
        <v>3.04</v>
      </c>
      <c r="D30">
        <v>2023</v>
      </c>
      <c r="E30" s="61">
        <v>2021</v>
      </c>
      <c r="F30" s="61">
        <v>1</v>
      </c>
      <c r="H30" s="133" t="str">
        <f>'Estadistico resumen'!$G$1</f>
        <v>λ=436 (m⁻¹)</v>
      </c>
      <c r="I30" s="133"/>
      <c r="J30" s="133"/>
      <c r="K30" s="133"/>
      <c r="L30" s="133"/>
      <c r="M30" s="133"/>
      <c r="N30" s="133"/>
    </row>
    <row r="31" spans="1:25" x14ac:dyDescent="0.25">
      <c r="A31">
        <v>2</v>
      </c>
      <c r="B31" t="str">
        <v>ESTACION FLOR SILVESTRE</v>
      </c>
      <c r="C31">
        <v>1.74</v>
      </c>
      <c r="D31">
        <v>2023</v>
      </c>
      <c r="E31" s="61">
        <v>2021</v>
      </c>
      <c r="F31" s="61">
        <v>1.98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FLOR SILVESTRE</v>
      </c>
      <c r="C32">
        <v>0.64</v>
      </c>
      <c r="D32">
        <v>2023</v>
      </c>
      <c r="E32" s="61">
        <v>2022</v>
      </c>
      <c r="F32" s="61">
        <v>0.98</v>
      </c>
      <c r="H32" s="1" cm="1">
        <f t="array" ref="H32:H35">_xlfn._xlws.SORT(_xlfn.UNIQUE(_xlfn.ANCHORARRAY(A4)))</f>
        <v>1</v>
      </c>
      <c r="I32" t="str">
        <f>IFERROR(VLOOKUP(H32,$A$4:$B$161,2),"")</f>
        <v>ESTACION PUENTE LARGA</v>
      </c>
      <c r="J32" s="46">
        <f>COUNTIF(_xlfn.ANCHORARRAY($B$4),I32)</f>
        <v>16</v>
      </c>
      <c r="K32" s="10">
        <f>_xlfn.MINIFS(_xlfn.ANCHORARRAY($C$4),_xlfn.ANCHORARRAY($B$4),I32)</f>
        <v>0.3</v>
      </c>
      <c r="L32" s="10">
        <f>SUMIFS(_xlfn.ANCHORARRAY($C$4),_xlfn.ANCHORARRAY($B$4),I32)/J32</f>
        <v>0.495</v>
      </c>
      <c r="M32" s="10">
        <f>_xlfn.MAXIFS(_xlfn.ANCHORARRAY($C$4),_xlfn.ANCHORARRAY($B$4),I32)</f>
        <v>0.98</v>
      </c>
      <c r="N32" s="10" cm="1">
        <f t="array" ref="N32">_xlfn.STDEV.S(_xlfn._xlws.FILTER(_xlfn.ANCHORARRAY($C$4),_xlfn.ANCHORARRAY($B$4)=I32))</f>
        <v>0.180739222823013</v>
      </c>
    </row>
    <row r="33" spans="1:14" x14ac:dyDescent="0.25">
      <c r="A33">
        <v>2</v>
      </c>
      <c r="B33" t="str">
        <v>ESTACION FLOR SILVESTRE</v>
      </c>
      <c r="C33">
        <v>3.88</v>
      </c>
      <c r="D33">
        <v>2024</v>
      </c>
      <c r="E33" s="61">
        <v>2022</v>
      </c>
      <c r="F33" s="61">
        <v>0.38</v>
      </c>
      <c r="H33" s="1">
        <v>2</v>
      </c>
      <c r="I33" t="str">
        <f t="shared" ref="I33:I35" si="4">VLOOKUP(H33,$A$4:$B$161,2)</f>
        <v>ESTACION FLOR SILVESTRE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0.4</v>
      </c>
      <c r="L33" s="10">
        <f t="shared" ref="L33:L35" si="7">SUMIFS(_xlfn.ANCHORARRAY($C$4),_xlfn.ANCHORARRAY($B$4),I33)/J33</f>
        <v>1.2762500000000003</v>
      </c>
      <c r="M33" s="10">
        <f t="shared" ref="M33:M35" si="8">_xlfn.MAXIFS(_xlfn.ANCHORARRAY($C$4),_xlfn.ANCHORARRAY($B$4),I33)</f>
        <v>3.88</v>
      </c>
      <c r="N33" s="10" cm="1">
        <f t="array" ref="N33">_xlfn.STDEV.S(_xlfn._xlws.FILTER(_xlfn.ANCHORARRAY($C$4),_xlfn.ANCHORARRAY($B$4)=I33))</f>
        <v>1.0377724541857265</v>
      </c>
    </row>
    <row r="34" spans="1:14" x14ac:dyDescent="0.25">
      <c r="A34">
        <v>2</v>
      </c>
      <c r="B34" t="str">
        <v>ESTACION FLOR SILVESTRE</v>
      </c>
      <c r="C34">
        <v>0.6</v>
      </c>
      <c r="D34">
        <v>2024</v>
      </c>
      <c r="E34" s="61">
        <v>2022</v>
      </c>
      <c r="F34" s="61">
        <v>0.4</v>
      </c>
      <c r="H34" s="1">
        <v>3</v>
      </c>
      <c r="I34" t="str">
        <f t="shared" si="4"/>
        <v>ESTACION COLTEPUNTO</v>
      </c>
      <c r="J34" s="46">
        <f t="shared" si="5"/>
        <v>16</v>
      </c>
      <c r="K34" s="10">
        <f t="shared" si="6"/>
        <v>0.42</v>
      </c>
      <c r="L34" s="10">
        <f t="shared" si="7"/>
        <v>0.85249999999999992</v>
      </c>
      <c r="M34" s="10">
        <f t="shared" si="8"/>
        <v>2.3199999999999998</v>
      </c>
      <c r="N34" s="10" cm="1">
        <f t="array" ref="N34">_xlfn.STDEV.S(_xlfn._xlws.FILTER(_xlfn.ANCHORARRAY($C$4),_xlfn.ANCHORARRAY($B$4)=I34))</f>
        <v>0.45781364476534947</v>
      </c>
    </row>
    <row r="35" spans="1:14" x14ac:dyDescent="0.25">
      <c r="A35">
        <v>2</v>
      </c>
      <c r="B35" t="str">
        <v>ESTACION FLOR SILVESTRE</v>
      </c>
      <c r="C35">
        <v>0.52</v>
      </c>
      <c r="D35">
        <v>2024</v>
      </c>
      <c r="E35" s="61">
        <v>2022</v>
      </c>
      <c r="F35" s="61">
        <v>2.08</v>
      </c>
      <c r="H35" s="1">
        <v>4</v>
      </c>
      <c r="I35" t="str">
        <f t="shared" si="4"/>
        <v>ESTACION PUENTE VIA EL TRANVIA</v>
      </c>
      <c r="J35" s="46">
        <f t="shared" si="5"/>
        <v>16</v>
      </c>
      <c r="K35" s="10">
        <f t="shared" si="6"/>
        <v>0.62</v>
      </c>
      <c r="L35" s="10">
        <f t="shared" si="7"/>
        <v>1.865</v>
      </c>
      <c r="M35" s="10">
        <f t="shared" si="8"/>
        <v>4.3</v>
      </c>
      <c r="N35" s="10" cm="1">
        <f t="array" ref="N35">_xlfn.STDEV.S(_xlfn._xlws.FILTER(_xlfn.ANCHORARRAY($C$4),_xlfn.ANCHORARRAY($B$4)=I35))</f>
        <v>1.019143431187844</v>
      </c>
    </row>
    <row r="36" spans="1:14" x14ac:dyDescent="0.25">
      <c r="A36">
        <v>3</v>
      </c>
      <c r="B36" t="str">
        <v>ESTACION COLTEPUNTO</v>
      </c>
      <c r="C36">
        <v>0.5</v>
      </c>
      <c r="D36">
        <v>2019</v>
      </c>
      <c r="E36" s="61">
        <v>2022</v>
      </c>
      <c r="F36" s="61">
        <v>0.4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COLTEPUNTO</v>
      </c>
      <c r="C37">
        <v>1.1000000000000001</v>
      </c>
      <c r="D37">
        <v>2020</v>
      </c>
      <c r="E37" s="61">
        <v>2022</v>
      </c>
      <c r="F37" s="61">
        <v>0.66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COLTEPUNTO</v>
      </c>
      <c r="C38">
        <v>0.6</v>
      </c>
      <c r="D38">
        <v>2020</v>
      </c>
      <c r="E38" s="61">
        <v>2022</v>
      </c>
      <c r="F38" s="61">
        <v>1.1399999999999999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COLTEPUNTO</v>
      </c>
      <c r="C39">
        <v>0.8</v>
      </c>
      <c r="D39">
        <v>2020</v>
      </c>
      <c r="E39" s="61">
        <v>2022</v>
      </c>
      <c r="F39" s="61">
        <v>0.42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COLTEPUNTO</v>
      </c>
      <c r="C40">
        <v>0.64</v>
      </c>
      <c r="D40">
        <v>2021</v>
      </c>
      <c r="E40" s="61">
        <v>2022</v>
      </c>
      <c r="F40" s="61">
        <v>0.66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COLTEPUNTO</v>
      </c>
      <c r="C41">
        <v>1.1000000000000001</v>
      </c>
      <c r="D41">
        <v>2021</v>
      </c>
      <c r="E41" s="61">
        <v>2022</v>
      </c>
      <c r="F41" s="61">
        <v>2.08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COLTEPUNTO</v>
      </c>
      <c r="C42">
        <v>0.8</v>
      </c>
      <c r="D42">
        <v>2021</v>
      </c>
      <c r="E42" s="61">
        <v>2022</v>
      </c>
      <c r="F42" s="61">
        <v>1.48</v>
      </c>
    </row>
    <row r="43" spans="1:14" x14ac:dyDescent="0.25">
      <c r="A43">
        <v>3</v>
      </c>
      <c r="B43" t="str">
        <v>ESTACION COLTEPUNTO</v>
      </c>
      <c r="C43">
        <v>1.1399999999999999</v>
      </c>
      <c r="D43">
        <v>2022</v>
      </c>
      <c r="E43" s="61">
        <v>2022</v>
      </c>
      <c r="F43" s="61">
        <v>1.25</v>
      </c>
    </row>
    <row r="44" spans="1:14" x14ac:dyDescent="0.25">
      <c r="A44">
        <v>3</v>
      </c>
      <c r="B44" t="str">
        <v>ESTACION COLTEPUNTO</v>
      </c>
      <c r="C44">
        <v>0.42</v>
      </c>
      <c r="D44">
        <v>2022</v>
      </c>
      <c r="E44" s="61">
        <v>2023</v>
      </c>
      <c r="F44" s="61">
        <v>0.56000000000000005</v>
      </c>
    </row>
    <row r="45" spans="1:14" x14ac:dyDescent="0.25">
      <c r="A45">
        <v>3</v>
      </c>
      <c r="B45" t="str">
        <v>ESTACION COLTEPUNTO</v>
      </c>
      <c r="C45">
        <v>0.66</v>
      </c>
      <c r="D45">
        <v>2022</v>
      </c>
      <c r="E45" s="61">
        <v>2023</v>
      </c>
      <c r="F45" s="61">
        <v>0.34</v>
      </c>
    </row>
    <row r="46" spans="1:14" x14ac:dyDescent="0.25">
      <c r="A46">
        <v>3</v>
      </c>
      <c r="B46" t="str">
        <v>ESTACION COLTEPUNTO</v>
      </c>
      <c r="C46">
        <v>0.62</v>
      </c>
      <c r="D46">
        <v>2023</v>
      </c>
      <c r="E46" s="61">
        <v>2023</v>
      </c>
      <c r="F46" s="61">
        <v>0.76</v>
      </c>
    </row>
    <row r="47" spans="1:14" x14ac:dyDescent="0.25">
      <c r="A47">
        <v>3</v>
      </c>
      <c r="B47" t="str">
        <v>ESTACION COLTEPUNTO</v>
      </c>
      <c r="C47">
        <v>0.76</v>
      </c>
      <c r="D47">
        <v>2023</v>
      </c>
      <c r="E47" s="61">
        <v>2023</v>
      </c>
      <c r="F47" s="61">
        <v>3.04</v>
      </c>
    </row>
    <row r="48" spans="1:14" x14ac:dyDescent="0.25">
      <c r="A48">
        <v>3</v>
      </c>
      <c r="B48" t="str">
        <v>ESTACION COLTEPUNTO</v>
      </c>
      <c r="C48">
        <v>0.5</v>
      </c>
      <c r="D48">
        <v>2023</v>
      </c>
      <c r="E48" s="61">
        <v>2023</v>
      </c>
      <c r="F48" s="61">
        <v>1.74</v>
      </c>
    </row>
    <row r="49" spans="1:6" x14ac:dyDescent="0.25">
      <c r="A49">
        <v>3</v>
      </c>
      <c r="B49" t="str">
        <v>ESTACION COLTEPUNTO</v>
      </c>
      <c r="C49">
        <v>1.1000000000000001</v>
      </c>
      <c r="D49">
        <v>2024</v>
      </c>
      <c r="E49" s="61">
        <v>2023</v>
      </c>
      <c r="F49" s="61">
        <v>0.64</v>
      </c>
    </row>
    <row r="50" spans="1:6" x14ac:dyDescent="0.25">
      <c r="A50">
        <v>3</v>
      </c>
      <c r="B50" t="str">
        <v>ESTACION COLTEPUNTO</v>
      </c>
      <c r="C50">
        <v>0.57999999999999996</v>
      </c>
      <c r="D50">
        <v>2024</v>
      </c>
      <c r="E50" s="61">
        <v>2023</v>
      </c>
      <c r="F50" s="61">
        <v>0.62</v>
      </c>
    </row>
    <row r="51" spans="1:6" x14ac:dyDescent="0.25">
      <c r="A51">
        <v>3</v>
      </c>
      <c r="B51" t="str">
        <v>ESTACION COLTEPUNTO</v>
      </c>
      <c r="C51">
        <v>2.3199999999999998</v>
      </c>
      <c r="D51">
        <v>2024</v>
      </c>
      <c r="E51" s="61">
        <v>2023</v>
      </c>
      <c r="F51" s="61">
        <v>0.76</v>
      </c>
    </row>
    <row r="52" spans="1:6" x14ac:dyDescent="0.25">
      <c r="A52">
        <v>4</v>
      </c>
      <c r="B52" t="str">
        <v>ESTACION PUENTE VIA EL TRANVIA</v>
      </c>
      <c r="C52">
        <v>1.8</v>
      </c>
      <c r="D52">
        <v>2019</v>
      </c>
      <c r="E52" s="61">
        <v>2023</v>
      </c>
      <c r="F52" s="61">
        <v>0.5</v>
      </c>
    </row>
    <row r="53" spans="1:6" x14ac:dyDescent="0.25">
      <c r="A53">
        <v>4</v>
      </c>
      <c r="B53" t="str">
        <v>ESTACION PUENTE VIA EL TRANVIA</v>
      </c>
      <c r="C53">
        <v>4.3</v>
      </c>
      <c r="D53">
        <v>2020</v>
      </c>
      <c r="E53" s="61">
        <v>2023</v>
      </c>
      <c r="F53" s="61">
        <v>2.52</v>
      </c>
    </row>
    <row r="54" spans="1:6" x14ac:dyDescent="0.25">
      <c r="A54">
        <v>4</v>
      </c>
      <c r="B54" t="str">
        <v>ESTACION PUENTE VIA EL TRANVIA</v>
      </c>
      <c r="C54">
        <v>0.9</v>
      </c>
      <c r="D54">
        <v>2020</v>
      </c>
      <c r="E54" s="61">
        <v>2023</v>
      </c>
      <c r="F54" s="61">
        <v>2.1800000000000002</v>
      </c>
    </row>
    <row r="55" spans="1:6" x14ac:dyDescent="0.25">
      <c r="A55">
        <v>4</v>
      </c>
      <c r="B55" t="str">
        <v>ESTACION PUENTE VIA EL TRANVIA</v>
      </c>
      <c r="C55">
        <v>1.9</v>
      </c>
      <c r="D55">
        <v>2020</v>
      </c>
      <c r="E55" s="61">
        <v>2023</v>
      </c>
      <c r="F55" s="61">
        <v>1.06</v>
      </c>
    </row>
    <row r="56" spans="1:6" x14ac:dyDescent="0.25">
      <c r="A56">
        <v>4</v>
      </c>
      <c r="B56" t="str">
        <v>ESTACION PUENTE VIA EL TRANVIA</v>
      </c>
      <c r="C56">
        <v>3.83</v>
      </c>
      <c r="D56">
        <v>2021</v>
      </c>
      <c r="E56" s="61">
        <v>2024</v>
      </c>
      <c r="F56" s="61">
        <v>0.62</v>
      </c>
    </row>
    <row r="57" spans="1:6" x14ac:dyDescent="0.25">
      <c r="A57">
        <v>4</v>
      </c>
      <c r="B57" t="str">
        <v>ESTACION PUENTE VIA EL TRANVIA</v>
      </c>
      <c r="C57">
        <v>1</v>
      </c>
      <c r="D57">
        <v>2021</v>
      </c>
      <c r="E57" s="61">
        <v>2024</v>
      </c>
      <c r="F57" s="61">
        <v>0.52</v>
      </c>
    </row>
    <row r="58" spans="1:6" x14ac:dyDescent="0.25">
      <c r="A58">
        <v>4</v>
      </c>
      <c r="B58" t="str">
        <v>ESTACION PUENTE VIA EL TRANVIA</v>
      </c>
      <c r="C58">
        <v>1.98</v>
      </c>
      <c r="D58">
        <v>2021</v>
      </c>
      <c r="E58" s="61">
        <v>2024</v>
      </c>
      <c r="F58" s="61">
        <v>0.32</v>
      </c>
    </row>
    <row r="59" spans="1:6" x14ac:dyDescent="0.25">
      <c r="A59">
        <v>4</v>
      </c>
      <c r="B59" t="str">
        <v>ESTACION PUENTE VIA EL TRANVIA</v>
      </c>
      <c r="C59">
        <v>2.08</v>
      </c>
      <c r="D59">
        <v>2022</v>
      </c>
      <c r="E59" s="61">
        <v>2024</v>
      </c>
      <c r="F59" s="61">
        <v>3.88</v>
      </c>
    </row>
    <row r="60" spans="1:6" x14ac:dyDescent="0.25">
      <c r="A60">
        <v>4</v>
      </c>
      <c r="B60" t="str">
        <v>ESTACION PUENTE VIA EL TRANVIA</v>
      </c>
      <c r="C60">
        <v>1.48</v>
      </c>
      <c r="D60">
        <v>2022</v>
      </c>
      <c r="E60" s="61">
        <v>2024</v>
      </c>
      <c r="F60" s="61">
        <v>0.6</v>
      </c>
    </row>
    <row r="61" spans="1:6" x14ac:dyDescent="0.25">
      <c r="A61">
        <v>4</v>
      </c>
      <c r="B61" t="str">
        <v>ESTACION PUENTE VIA EL TRANVIA</v>
      </c>
      <c r="C61">
        <v>1.25</v>
      </c>
      <c r="D61">
        <v>2022</v>
      </c>
      <c r="E61" s="61">
        <v>2024</v>
      </c>
      <c r="F61" s="61">
        <v>0.52</v>
      </c>
    </row>
    <row r="62" spans="1:6" x14ac:dyDescent="0.25">
      <c r="A62">
        <v>4</v>
      </c>
      <c r="B62" t="str">
        <v>ESTACION PUENTE VIA EL TRANVIA</v>
      </c>
      <c r="C62">
        <v>2.52</v>
      </c>
      <c r="D62">
        <v>2023</v>
      </c>
      <c r="E62" s="61">
        <v>2024</v>
      </c>
      <c r="F62" s="61">
        <v>1.1000000000000001</v>
      </c>
    </row>
    <row r="63" spans="1:6" x14ac:dyDescent="0.25">
      <c r="A63">
        <v>4</v>
      </c>
      <c r="B63" t="str">
        <v>ESTACION PUENTE VIA EL TRANVIA</v>
      </c>
      <c r="C63">
        <v>2.1800000000000002</v>
      </c>
      <c r="D63">
        <v>2023</v>
      </c>
      <c r="E63" s="61">
        <v>2024</v>
      </c>
      <c r="F63" s="61">
        <v>0.57999999999999996</v>
      </c>
    </row>
    <row r="64" spans="1:6" x14ac:dyDescent="0.25">
      <c r="A64">
        <v>4</v>
      </c>
      <c r="B64" t="str">
        <v>ESTACION PUENTE VIA EL TRANVIA</v>
      </c>
      <c r="C64">
        <v>1.06</v>
      </c>
      <c r="D64">
        <v>2023</v>
      </c>
      <c r="E64" s="61">
        <v>2024</v>
      </c>
      <c r="F64" s="61">
        <v>2.3199999999999998</v>
      </c>
    </row>
    <row r="65" spans="1:6" x14ac:dyDescent="0.25">
      <c r="A65">
        <v>4</v>
      </c>
      <c r="B65" t="str">
        <v>ESTACION PUENTE VIA EL TRANVIA</v>
      </c>
      <c r="C65">
        <v>1.96</v>
      </c>
      <c r="D65">
        <v>2024</v>
      </c>
      <c r="E65" s="61">
        <v>2024</v>
      </c>
      <c r="F65" s="61">
        <v>1.96</v>
      </c>
    </row>
    <row r="66" spans="1:6" x14ac:dyDescent="0.25">
      <c r="A66">
        <v>4</v>
      </c>
      <c r="B66" t="str">
        <v>ESTACION PUENTE VIA EL TRANVIA</v>
      </c>
      <c r="C66">
        <v>0.62</v>
      </c>
      <c r="D66">
        <v>2024</v>
      </c>
      <c r="E66" s="61">
        <v>2024</v>
      </c>
      <c r="F66" s="61">
        <v>0.62</v>
      </c>
    </row>
    <row r="67" spans="1:6" x14ac:dyDescent="0.25">
      <c r="A67">
        <v>4</v>
      </c>
      <c r="B67" t="str">
        <v>ESTACION PUENTE VIA EL TRANVIA</v>
      </c>
      <c r="C67">
        <v>0.98</v>
      </c>
      <c r="D67">
        <v>2024</v>
      </c>
      <c r="E67" s="61">
        <v>2024</v>
      </c>
      <c r="F67" s="61">
        <v>0.98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D91B-BF2D-4DEB-86E8-73166FF753BE}">
  <sheetPr>
    <tabColor rgb="FFFFFF00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121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λ=525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PUENTE LARGA</v>
      </c>
      <c r="C4" cm="1">
        <f t="array" ref="C4:C67">_xlfn._xlws.FILTER(CHOOSE(3,'Resultados historicos'!C:C,'Resultados historicos'!D:D,'Resultados historicos'!P:P,'Resultados historicos'!A:A),'Resultados historicos'!H:H=A2)</f>
        <v>0.1</v>
      </c>
      <c r="D4" cm="1">
        <f t="array" ref="D4:D67">_xlfn._xlws.FILTER(CHOOSE(4,'Resultados historicos'!C:C,'Resultados historicos'!D:D,'Resultados historicos'!O:O,'Resultados historicos'!A:A),'Resultados historicos'!H:H=A2)</f>
        <v>2019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PUENTE LARGA</v>
      </c>
      <c r="C5">
        <v>0.2</v>
      </c>
      <c r="D5">
        <v>2020</v>
      </c>
      <c r="E5" s="61">
        <v>2019</v>
      </c>
      <c r="F5" s="61">
        <v>0.4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PUENTE LARGA</v>
      </c>
      <c r="C6">
        <v>0.1</v>
      </c>
      <c r="D6">
        <v>2020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PUENTE LARGA</v>
      </c>
      <c r="C7">
        <v>0.2</v>
      </c>
      <c r="D7">
        <v>2020</v>
      </c>
      <c r="E7" s="61">
        <v>2019</v>
      </c>
      <c r="F7" s="61">
        <v>1.2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PUENTE LARGA</v>
      </c>
      <c r="C8">
        <v>0.3</v>
      </c>
      <c r="D8">
        <v>2021</v>
      </c>
      <c r="E8" s="61">
        <v>2020</v>
      </c>
      <c r="F8" s="61">
        <v>0.2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PUENTE LARGA</v>
      </c>
      <c r="C9">
        <v>0.3</v>
      </c>
      <c r="D9">
        <v>2021</v>
      </c>
      <c r="E9" s="61">
        <v>2020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PUENTE LARGA</v>
      </c>
      <c r="C10">
        <v>0.22</v>
      </c>
      <c r="D10">
        <v>2021</v>
      </c>
      <c r="E10" s="61">
        <v>2020</v>
      </c>
      <c r="F10" s="61">
        <v>0.2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PUENTE LARGA</v>
      </c>
      <c r="C11">
        <v>0.4</v>
      </c>
      <c r="D11">
        <v>2022</v>
      </c>
      <c r="E11" s="61">
        <v>2020</v>
      </c>
      <c r="F11" s="61">
        <v>0.5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PUENTE LARGA</v>
      </c>
      <c r="C12">
        <v>0.14000000000000001</v>
      </c>
      <c r="D12">
        <v>2022</v>
      </c>
      <c r="E12" s="61">
        <v>2020</v>
      </c>
      <c r="F12" s="61">
        <v>0.1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PUENTE LARGA</v>
      </c>
      <c r="C13">
        <v>0.16</v>
      </c>
      <c r="D13">
        <v>2022</v>
      </c>
      <c r="E13" s="61">
        <v>2020</v>
      </c>
      <c r="F13" s="61">
        <v>0.3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PUENTE LARGA</v>
      </c>
      <c r="C14">
        <v>0.22</v>
      </c>
      <c r="D14">
        <v>2023</v>
      </c>
      <c r="E14" s="61">
        <v>2020</v>
      </c>
      <c r="F14" s="61">
        <v>0.5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PUENTE LARGA</v>
      </c>
      <c r="C15">
        <v>0.14000000000000001</v>
      </c>
      <c r="D15">
        <v>2023</v>
      </c>
      <c r="E15" s="61">
        <v>2020</v>
      </c>
      <c r="F15" s="61">
        <v>0.2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PUENTE LARGA</v>
      </c>
      <c r="C16">
        <v>0.46</v>
      </c>
      <c r="D16">
        <v>2023</v>
      </c>
      <c r="E16" s="61">
        <v>2020</v>
      </c>
      <c r="F16" s="61">
        <v>0.4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PUENTE LARGA</v>
      </c>
      <c r="C17">
        <v>0.26</v>
      </c>
      <c r="D17">
        <v>2024</v>
      </c>
      <c r="E17" s="61">
        <v>2020</v>
      </c>
      <c r="F17" s="61">
        <v>3.3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PUENTE LARGA</v>
      </c>
      <c r="C18">
        <v>0.18</v>
      </c>
      <c r="D18">
        <v>2024</v>
      </c>
      <c r="E18" s="61">
        <v>2020</v>
      </c>
      <c r="F18" s="61">
        <v>0.5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PUENTE LARGA</v>
      </c>
      <c r="C19">
        <v>0.1</v>
      </c>
      <c r="D19">
        <v>2024</v>
      </c>
      <c r="E19" s="61">
        <v>2020</v>
      </c>
      <c r="F19" s="61">
        <v>1.2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FLOR SILVESTRE</v>
      </c>
      <c r="C20">
        <v>0.4</v>
      </c>
      <c r="D20">
        <v>2019</v>
      </c>
      <c r="E20" s="61">
        <v>2021</v>
      </c>
      <c r="F20" s="61">
        <v>0.3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FLOR SILVESTRE</v>
      </c>
      <c r="C21">
        <v>0.5</v>
      </c>
      <c r="D21">
        <v>2020</v>
      </c>
      <c r="E21" s="61">
        <v>2021</v>
      </c>
      <c r="F21" s="61">
        <v>0.3</v>
      </c>
      <c r="H21" s="131"/>
      <c r="I21" s="131"/>
      <c r="J21" s="131"/>
      <c r="K21" s="131"/>
      <c r="L21" s="131"/>
      <c r="M21" s="131"/>
      <c r="N21" s="131"/>
      <c r="O21" s="135" t="str">
        <f>H30</f>
        <v>λ=525 (m⁻¹)</v>
      </c>
      <c r="P21" s="135"/>
      <c r="Q21" s="135"/>
      <c r="R21" s="135"/>
      <c r="S21" s="135"/>
      <c r="T21" s="135"/>
      <c r="W21" s="136" t="str">
        <f>O21</f>
        <v>λ=525 (m⁻¹)</v>
      </c>
      <c r="X21" s="136"/>
      <c r="Y21" s="136"/>
    </row>
    <row r="22" spans="1:25" x14ac:dyDescent="0.25">
      <c r="A22">
        <v>2</v>
      </c>
      <c r="B22" t="str">
        <v>ESTACION FLOR SILVESTRE</v>
      </c>
      <c r="C22">
        <v>0.1</v>
      </c>
      <c r="D22">
        <v>2020</v>
      </c>
      <c r="E22" s="61">
        <v>2021</v>
      </c>
      <c r="F22" s="61">
        <v>0.22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FLOR SILVESTRE</v>
      </c>
      <c r="C23">
        <v>0.3</v>
      </c>
      <c r="D23">
        <v>2020</v>
      </c>
      <c r="E23" s="61">
        <v>2021</v>
      </c>
      <c r="F23" s="61">
        <v>1.38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0.44999999999999996</v>
      </c>
      <c r="S23" s="10">
        <f t="shared" ref="S23:S28" si="3">_xlfn.MAXIFS(_xlfn.ANCHORARRAY($C$4),_xlfn.ANCHORARRAY($D$4),O23)</f>
        <v>1.2</v>
      </c>
      <c r="T23" s="10" cm="1">
        <f t="array" ref="T23">_xlfn.STDEV.S(_xlfn._xlws.FILTER(_xlfn.ANCHORARRAY($C$4),_xlfn.ANCHORARRAY($D$4)=O23))</f>
        <v>0.51961524227066325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FLOR SILVESTRE</v>
      </c>
      <c r="C24">
        <v>1.38</v>
      </c>
      <c r="D24">
        <v>2021</v>
      </c>
      <c r="E24" s="61">
        <v>2021</v>
      </c>
      <c r="F24" s="61">
        <v>0.2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0.1</v>
      </c>
      <c r="R24" s="10">
        <f t="shared" si="2"/>
        <v>0.625</v>
      </c>
      <c r="S24" s="10">
        <f t="shared" si="3"/>
        <v>3.3</v>
      </c>
      <c r="T24" s="10" cm="1">
        <f t="array" ref="T24">_xlfn.STDEV.S(_xlfn._xlws.FILTER(_xlfn.ANCHORARRAY($C$4),_xlfn.ANCHORARRAY($D$4)=O24))</f>
        <v>0.8935374031953508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FLOR SILVESTRE</v>
      </c>
      <c r="C25">
        <v>0.2</v>
      </c>
      <c r="D25">
        <v>2021</v>
      </c>
      <c r="E25" s="61">
        <v>2021</v>
      </c>
      <c r="F25" s="61">
        <v>0.56000000000000005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0.2</v>
      </c>
      <c r="R25" s="10">
        <f t="shared" si="2"/>
        <v>0.79500000000000004</v>
      </c>
      <c r="S25" s="10">
        <f t="shared" si="3"/>
        <v>3.37</v>
      </c>
      <c r="T25" s="10" cm="1">
        <f t="array" ref="T25">_xlfn.STDEV.S(_xlfn._xlws.FILTER(_xlfn.ANCHORARRAY($C$4),_xlfn.ANCHORARRAY($D$4)=O25))</f>
        <v>0.9068577116013895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FLOR SILVESTRE</v>
      </c>
      <c r="C26">
        <v>0.56000000000000005</v>
      </c>
      <c r="D26">
        <v>2021</v>
      </c>
      <c r="E26" s="61">
        <v>2021</v>
      </c>
      <c r="F26" s="61">
        <v>0.28000000000000003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0.14000000000000001</v>
      </c>
      <c r="R26" s="10">
        <f t="shared" si="2"/>
        <v>0.53</v>
      </c>
      <c r="S26" s="10">
        <f t="shared" si="3"/>
        <v>1.21</v>
      </c>
      <c r="T26" s="10" cm="1">
        <f t="array" ref="T26">_xlfn.STDEV.S(_xlfn._xlws.FILTER(_xlfn.ANCHORARRAY($C$4),_xlfn.ANCHORARRAY($D$4)=O26))</f>
        <v>0.43678578065433649</v>
      </c>
      <c r="V26" t="s">
        <v>565</v>
      </c>
      <c r="W26" s="1" t="str">
        <f>TEXT(R29,"0,00")&amp;" ± "&amp;TEXT((W25*T29/SQRT(P29)),"0,00")</f>
        <v>0,66 ± 0,15</v>
      </c>
      <c r="X26" s="1" t="str">
        <f>TEXT(R29,"0,00")&amp;" ± "&amp;TEXT((X25*T29/SQRT(P29)),"0,00")</f>
        <v>0,66 ± 0,18</v>
      </c>
      <c r="Y26" s="1" t="str">
        <f>TEXT(R29,"0,00")&amp;" ± "&amp;TEXT((Y25*T29/SQRT(P29)),"0,00")</f>
        <v>0,66 ± 0,24</v>
      </c>
    </row>
    <row r="27" spans="1:25" x14ac:dyDescent="0.25">
      <c r="A27">
        <v>2</v>
      </c>
      <c r="B27" t="str">
        <v>ESTACION FLOR SILVESTRE</v>
      </c>
      <c r="C27">
        <v>1.08</v>
      </c>
      <c r="D27">
        <v>2022</v>
      </c>
      <c r="E27" s="61">
        <v>2021</v>
      </c>
      <c r="F27" s="61">
        <v>0.6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0.14000000000000001</v>
      </c>
      <c r="R27" s="10">
        <f t="shared" si="2"/>
        <v>0.755</v>
      </c>
      <c r="S27" s="10">
        <f t="shared" si="3"/>
        <v>2.2000000000000002</v>
      </c>
      <c r="T27" s="10" cm="1">
        <f t="array" ref="T27">_xlfn.STDEV.S(_xlfn._xlws.FILTER(_xlfn.ANCHORARRAY($C$4),_xlfn.ANCHORARRAY($D$4)=O27))</f>
        <v>0.74483067020144067</v>
      </c>
      <c r="V27" t="s">
        <v>566</v>
      </c>
      <c r="W27" s="10">
        <f>R29-(W25*T29/SQRT(P29))</f>
        <v>0.50645674220503056</v>
      </c>
      <c r="X27" s="10">
        <f>R29-(X25*T29/SQRT(P29))</f>
        <v>0.47752085745805212</v>
      </c>
      <c r="Y27" s="10">
        <f>R29-(Y25*T29/SQRT(P29))</f>
        <v>0.42096731213229605</v>
      </c>
    </row>
    <row r="28" spans="1:25" x14ac:dyDescent="0.25">
      <c r="A28">
        <v>2</v>
      </c>
      <c r="B28" t="str">
        <v>ESTACION FLOR SILVESTRE</v>
      </c>
      <c r="C28">
        <v>0.14000000000000001</v>
      </c>
      <c r="D28">
        <v>2022</v>
      </c>
      <c r="E28" s="61">
        <v>2021</v>
      </c>
      <c r="F28" s="61">
        <v>0.3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0.1</v>
      </c>
      <c r="R28" s="10">
        <f t="shared" si="2"/>
        <v>0.65166666666666673</v>
      </c>
      <c r="S28" s="10">
        <f t="shared" si="3"/>
        <v>2.46</v>
      </c>
      <c r="T28" s="10" cm="1">
        <f t="array" ref="T28">_xlfn.STDEV.S(_xlfn._xlws.FILTER(_xlfn.ANCHORARRAY($C$4),_xlfn.ANCHORARRAY($D$4)=O28))</f>
        <v>0.76502921314790129</v>
      </c>
      <c r="V28" t="s">
        <v>567</v>
      </c>
      <c r="W28" s="10">
        <f>R29+(W25*T29/SQRT(P29))</f>
        <v>0.80854325779496961</v>
      </c>
      <c r="X28" s="10">
        <f>R29+(X25*T29/SQRT(P29))</f>
        <v>0.83747914254194811</v>
      </c>
      <c r="Y28" s="10">
        <f>R29+(Y25*T29/SQRT(P29))</f>
        <v>0.89403268786770407</v>
      </c>
    </row>
    <row r="29" spans="1:25" x14ac:dyDescent="0.25">
      <c r="A29">
        <v>2</v>
      </c>
      <c r="B29" t="str">
        <v>ESTACION FLOR SILVESTRE</v>
      </c>
      <c r="C29">
        <v>0.32</v>
      </c>
      <c r="D29">
        <v>2022</v>
      </c>
      <c r="E29" s="61">
        <v>2021</v>
      </c>
      <c r="F29" s="61">
        <v>3.37</v>
      </c>
      <c r="O29" t="s">
        <v>568</v>
      </c>
      <c r="P29" s="1">
        <f>SUM(P23:P28)</f>
        <v>64</v>
      </c>
      <c r="R29" s="10">
        <f>AVERAGE(_xlfn.ANCHORARRAY(C4))</f>
        <v>0.65750000000000008</v>
      </c>
      <c r="T29" s="10">
        <f>_xlfn.STDEV.S(_xlfn.ANCHORARRAY(C4))</f>
        <v>0.73462224392529873</v>
      </c>
    </row>
    <row r="30" spans="1:25" x14ac:dyDescent="0.25">
      <c r="A30">
        <v>2</v>
      </c>
      <c r="B30" t="str">
        <v>ESTACION FLOR SILVESTRE</v>
      </c>
      <c r="C30">
        <v>1.98</v>
      </c>
      <c r="D30">
        <v>2023</v>
      </c>
      <c r="E30" s="61">
        <v>2021</v>
      </c>
      <c r="F30" s="61">
        <v>0.7</v>
      </c>
      <c r="H30" s="135" t="str">
        <f>'Estadistico resumen'!$K$1</f>
        <v>λ=525 (m⁻¹)</v>
      </c>
      <c r="I30" s="135"/>
      <c r="J30" s="135"/>
      <c r="K30" s="135"/>
      <c r="L30" s="135"/>
      <c r="M30" s="135"/>
      <c r="N30" s="135"/>
    </row>
    <row r="31" spans="1:25" x14ac:dyDescent="0.25">
      <c r="A31">
        <v>2</v>
      </c>
      <c r="B31" t="str">
        <v>ESTACION FLOR SILVESTRE</v>
      </c>
      <c r="C31">
        <v>0.98</v>
      </c>
      <c r="D31">
        <v>2023</v>
      </c>
      <c r="E31" s="61">
        <v>2021</v>
      </c>
      <c r="F31" s="61">
        <v>1.33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FLOR SILVESTRE</v>
      </c>
      <c r="C32">
        <v>0.26</v>
      </c>
      <c r="D32">
        <v>2023</v>
      </c>
      <c r="E32" s="61">
        <v>2022</v>
      </c>
      <c r="F32" s="61">
        <v>0.4</v>
      </c>
      <c r="H32" s="1" cm="1">
        <f t="array" ref="H32:H35">_xlfn._xlws.SORT(_xlfn.UNIQUE(_xlfn.ANCHORARRAY(A4)))</f>
        <v>1</v>
      </c>
      <c r="I32" t="str">
        <f>IFERROR(VLOOKUP(H32,$A$4:$B$161,2),"")</f>
        <v>ESTACION PUENTE LARGA</v>
      </c>
      <c r="J32" s="46">
        <f>COUNTIF(_xlfn.ANCHORARRAY($B$4),I32)</f>
        <v>16</v>
      </c>
      <c r="K32" s="10">
        <f>_xlfn.MINIFS(_xlfn.ANCHORARRAY($C$4),_xlfn.ANCHORARRAY($B$4),I32)</f>
        <v>0.1</v>
      </c>
      <c r="L32" s="10">
        <f>SUMIFS(_xlfn.ANCHORARRAY($C$4),_xlfn.ANCHORARRAY($B$4),I32)/J32</f>
        <v>0.21750000000000008</v>
      </c>
      <c r="M32" s="10">
        <f>_xlfn.MAXIFS(_xlfn.ANCHORARRAY($C$4),_xlfn.ANCHORARRAY($B$4),I32)</f>
        <v>0.46</v>
      </c>
      <c r="N32" s="10" cm="1">
        <f t="array" ref="N32">_xlfn.STDEV.S(_xlfn._xlws.FILTER(_xlfn.ANCHORARRAY($C$4),_xlfn.ANCHORARRAY($B$4)=I32))</f>
        <v>0.10529324131522699</v>
      </c>
    </row>
    <row r="33" spans="1:14" x14ac:dyDescent="0.25">
      <c r="A33">
        <v>2</v>
      </c>
      <c r="B33" t="str">
        <v>ESTACION FLOR SILVESTRE</v>
      </c>
      <c r="C33">
        <v>2.46</v>
      </c>
      <c r="D33">
        <v>2024</v>
      </c>
      <c r="E33" s="61">
        <v>2022</v>
      </c>
      <c r="F33" s="61">
        <v>0.14000000000000001</v>
      </c>
      <c r="H33" s="1">
        <v>2</v>
      </c>
      <c r="I33" t="str">
        <f t="shared" ref="I33:I35" si="4">VLOOKUP(H33,$A$4:$B$161,2)</f>
        <v>ESTACION FLOR SILVESTRE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0.1</v>
      </c>
      <c r="L33" s="10">
        <f t="shared" ref="L33:L35" si="7">SUMIFS(_xlfn.ANCHORARRAY($C$4),_xlfn.ANCHORARRAY($B$4),I33)/J33</f>
        <v>0.69374999999999998</v>
      </c>
      <c r="M33" s="10">
        <f t="shared" ref="M33:M35" si="8">_xlfn.MAXIFS(_xlfn.ANCHORARRAY($C$4),_xlfn.ANCHORARRAY($B$4),I33)</f>
        <v>2.46</v>
      </c>
      <c r="N33" s="10" cm="1">
        <f t="array" ref="N33">_xlfn.STDEV.S(_xlfn._xlws.FILTER(_xlfn.ANCHORARRAY($C$4),_xlfn.ANCHORARRAY($B$4)=I33))</f>
        <v>0.70501891227588132</v>
      </c>
    </row>
    <row r="34" spans="1:14" x14ac:dyDescent="0.25">
      <c r="A34">
        <v>2</v>
      </c>
      <c r="B34" t="str">
        <v>ESTACION FLOR SILVESTRE</v>
      </c>
      <c r="C34">
        <v>0.26</v>
      </c>
      <c r="D34">
        <v>2024</v>
      </c>
      <c r="E34" s="61">
        <v>2022</v>
      </c>
      <c r="F34" s="61">
        <v>0.16</v>
      </c>
      <c r="H34" s="1">
        <v>3</v>
      </c>
      <c r="I34" t="str">
        <f t="shared" si="4"/>
        <v>ESTACION COLTEPUNTO</v>
      </c>
      <c r="J34" s="46">
        <f t="shared" si="5"/>
        <v>16</v>
      </c>
      <c r="K34" s="10">
        <f t="shared" si="6"/>
        <v>0.1</v>
      </c>
      <c r="L34" s="10">
        <f t="shared" si="7"/>
        <v>0.39875000000000005</v>
      </c>
      <c r="M34" s="10">
        <f t="shared" si="8"/>
        <v>1.84</v>
      </c>
      <c r="N34" s="10" cm="1">
        <f t="array" ref="N34">_xlfn.STDEV.S(_xlfn._xlws.FILTER(_xlfn.ANCHORARRAY($C$4),_xlfn.ANCHORARRAY($B$4)=I34))</f>
        <v>0.40906193500088306</v>
      </c>
    </row>
    <row r="35" spans="1:14" x14ac:dyDescent="0.25">
      <c r="A35">
        <v>2</v>
      </c>
      <c r="B35" t="str">
        <v>ESTACION FLOR SILVESTRE</v>
      </c>
      <c r="C35">
        <v>0.18</v>
      </c>
      <c r="D35">
        <v>2024</v>
      </c>
      <c r="E35" s="61">
        <v>2022</v>
      </c>
      <c r="F35" s="61">
        <v>1.08</v>
      </c>
      <c r="H35" s="1">
        <v>4</v>
      </c>
      <c r="I35" t="str">
        <f t="shared" si="4"/>
        <v>ESTACION PUENTE VIA EL TRANVIA</v>
      </c>
      <c r="J35" s="46">
        <f t="shared" si="5"/>
        <v>16</v>
      </c>
      <c r="K35" s="10">
        <f t="shared" si="6"/>
        <v>0.24</v>
      </c>
      <c r="L35" s="10">
        <f t="shared" si="7"/>
        <v>1.3199999999999996</v>
      </c>
      <c r="M35" s="10">
        <f t="shared" si="8"/>
        <v>3.37</v>
      </c>
      <c r="N35" s="10" cm="1">
        <f t="array" ref="N35">_xlfn.STDEV.S(_xlfn._xlws.FILTER(_xlfn.ANCHORARRAY($C$4),_xlfn.ANCHORARRAY($B$4)=I35))</f>
        <v>0.91850603336795444</v>
      </c>
    </row>
    <row r="36" spans="1:14" x14ac:dyDescent="0.25">
      <c r="A36">
        <v>3</v>
      </c>
      <c r="B36" t="str">
        <v>ESTACION COLTEPUNTO</v>
      </c>
      <c r="C36">
        <v>0.1</v>
      </c>
      <c r="D36">
        <v>2019</v>
      </c>
      <c r="E36" s="61">
        <v>2022</v>
      </c>
      <c r="F36" s="61">
        <v>0.14000000000000001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COLTEPUNTO</v>
      </c>
      <c r="C37">
        <v>0.5</v>
      </c>
      <c r="D37">
        <v>2020</v>
      </c>
      <c r="E37" s="61">
        <v>2022</v>
      </c>
      <c r="F37" s="61">
        <v>0.32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COLTEPUNTO</v>
      </c>
      <c r="C38">
        <v>0.2</v>
      </c>
      <c r="D38">
        <v>2020</v>
      </c>
      <c r="E38" s="61">
        <v>2022</v>
      </c>
      <c r="F38" s="61">
        <v>0.46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COLTEPUNTO</v>
      </c>
      <c r="C39">
        <v>0.4</v>
      </c>
      <c r="D39">
        <v>2020</v>
      </c>
      <c r="E39" s="61">
        <v>2022</v>
      </c>
      <c r="F39" s="61">
        <v>0.14000000000000001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COLTEPUNTO</v>
      </c>
      <c r="C40">
        <v>0.28000000000000003</v>
      </c>
      <c r="D40">
        <v>2021</v>
      </c>
      <c r="E40" s="61">
        <v>2022</v>
      </c>
      <c r="F40" s="61">
        <v>0.22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COLTEPUNTO</v>
      </c>
      <c r="C41">
        <v>0.6</v>
      </c>
      <c r="D41">
        <v>2021</v>
      </c>
      <c r="E41" s="61">
        <v>2022</v>
      </c>
      <c r="F41" s="61">
        <v>1.2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COLTEPUNTO</v>
      </c>
      <c r="C42">
        <v>0.3</v>
      </c>
      <c r="D42">
        <v>2021</v>
      </c>
      <c r="E42" s="61">
        <v>2022</v>
      </c>
      <c r="F42" s="61">
        <v>1.21</v>
      </c>
    </row>
    <row r="43" spans="1:14" x14ac:dyDescent="0.25">
      <c r="A43">
        <v>3</v>
      </c>
      <c r="B43" t="str">
        <v>ESTACION COLTEPUNTO</v>
      </c>
      <c r="C43">
        <v>0.46</v>
      </c>
      <c r="D43">
        <v>2022</v>
      </c>
      <c r="E43" s="61">
        <v>2022</v>
      </c>
      <c r="F43" s="61">
        <v>0.89</v>
      </c>
    </row>
    <row r="44" spans="1:14" x14ac:dyDescent="0.25">
      <c r="A44">
        <v>3</v>
      </c>
      <c r="B44" t="str">
        <v>ESTACION COLTEPUNTO</v>
      </c>
      <c r="C44">
        <v>0.14000000000000001</v>
      </c>
      <c r="D44">
        <v>2022</v>
      </c>
      <c r="E44" s="61">
        <v>2023</v>
      </c>
      <c r="F44" s="61">
        <v>0.22</v>
      </c>
    </row>
    <row r="45" spans="1:14" x14ac:dyDescent="0.25">
      <c r="A45">
        <v>3</v>
      </c>
      <c r="B45" t="str">
        <v>ESTACION COLTEPUNTO</v>
      </c>
      <c r="C45">
        <v>0.22</v>
      </c>
      <c r="D45">
        <v>2022</v>
      </c>
      <c r="E45" s="61">
        <v>2023</v>
      </c>
      <c r="F45" s="61">
        <v>0.14000000000000001</v>
      </c>
    </row>
    <row r="46" spans="1:14" x14ac:dyDescent="0.25">
      <c r="A46">
        <v>3</v>
      </c>
      <c r="B46" t="str">
        <v>ESTACION COLTEPUNTO</v>
      </c>
      <c r="C46">
        <v>0.22</v>
      </c>
      <c r="D46">
        <v>2023</v>
      </c>
      <c r="E46" s="61">
        <v>2023</v>
      </c>
      <c r="F46" s="61">
        <v>0.46</v>
      </c>
    </row>
    <row r="47" spans="1:14" x14ac:dyDescent="0.25">
      <c r="A47">
        <v>3</v>
      </c>
      <c r="B47" t="str">
        <v>ESTACION COLTEPUNTO</v>
      </c>
      <c r="C47">
        <v>0.28000000000000003</v>
      </c>
      <c r="D47">
        <v>2023</v>
      </c>
      <c r="E47" s="61">
        <v>2023</v>
      </c>
      <c r="F47" s="61">
        <v>1.98</v>
      </c>
    </row>
    <row r="48" spans="1:14" x14ac:dyDescent="0.25">
      <c r="A48">
        <v>3</v>
      </c>
      <c r="B48" t="str">
        <v>ESTACION COLTEPUNTO</v>
      </c>
      <c r="C48">
        <v>0.2</v>
      </c>
      <c r="D48">
        <v>2023</v>
      </c>
      <c r="E48" s="61">
        <v>2023</v>
      </c>
      <c r="F48" s="61">
        <v>0.98</v>
      </c>
    </row>
    <row r="49" spans="1:6" x14ac:dyDescent="0.25">
      <c r="A49">
        <v>3</v>
      </c>
      <c r="B49" t="str">
        <v>ESTACION COLTEPUNTO</v>
      </c>
      <c r="C49">
        <v>0.44</v>
      </c>
      <c r="D49">
        <v>2024</v>
      </c>
      <c r="E49" s="61">
        <v>2023</v>
      </c>
      <c r="F49" s="61">
        <v>0.26</v>
      </c>
    </row>
    <row r="50" spans="1:6" x14ac:dyDescent="0.25">
      <c r="A50">
        <v>3</v>
      </c>
      <c r="B50" t="str">
        <v>ESTACION COLTEPUNTO</v>
      </c>
      <c r="C50">
        <v>0.2</v>
      </c>
      <c r="D50">
        <v>2024</v>
      </c>
      <c r="E50" s="61">
        <v>2023</v>
      </c>
      <c r="F50" s="61">
        <v>0.22</v>
      </c>
    </row>
    <row r="51" spans="1:6" x14ac:dyDescent="0.25">
      <c r="A51">
        <v>3</v>
      </c>
      <c r="B51" t="str">
        <v>ESTACION COLTEPUNTO</v>
      </c>
      <c r="C51">
        <v>1.84</v>
      </c>
      <c r="D51">
        <v>2024</v>
      </c>
      <c r="E51" s="61">
        <v>2023</v>
      </c>
      <c r="F51" s="61">
        <v>0.28000000000000003</v>
      </c>
    </row>
    <row r="52" spans="1:6" x14ac:dyDescent="0.25">
      <c r="A52">
        <v>4</v>
      </c>
      <c r="B52" t="str">
        <v>ESTACION PUENTE VIA EL TRANVIA</v>
      </c>
      <c r="C52">
        <v>1.2</v>
      </c>
      <c r="D52">
        <v>2019</v>
      </c>
      <c r="E52" s="61">
        <v>2023</v>
      </c>
      <c r="F52" s="61">
        <v>0.2</v>
      </c>
    </row>
    <row r="53" spans="1:6" x14ac:dyDescent="0.25">
      <c r="A53">
        <v>4</v>
      </c>
      <c r="B53" t="str">
        <v>ESTACION PUENTE VIA EL TRANVIA</v>
      </c>
      <c r="C53">
        <v>3.3</v>
      </c>
      <c r="D53">
        <v>2020</v>
      </c>
      <c r="E53" s="61">
        <v>2023</v>
      </c>
      <c r="F53" s="61">
        <v>2.2000000000000002</v>
      </c>
    </row>
    <row r="54" spans="1:6" x14ac:dyDescent="0.25">
      <c r="A54">
        <v>4</v>
      </c>
      <c r="B54" t="str">
        <v>ESTACION PUENTE VIA EL TRANVIA</v>
      </c>
      <c r="C54">
        <v>0.5</v>
      </c>
      <c r="D54">
        <v>2020</v>
      </c>
      <c r="E54" s="61">
        <v>2023</v>
      </c>
      <c r="F54" s="61">
        <v>1.54</v>
      </c>
    </row>
    <row r="55" spans="1:6" x14ac:dyDescent="0.25">
      <c r="A55">
        <v>4</v>
      </c>
      <c r="B55" t="str">
        <v>ESTACION PUENTE VIA EL TRANVIA</v>
      </c>
      <c r="C55">
        <v>1.2</v>
      </c>
      <c r="D55">
        <v>2020</v>
      </c>
      <c r="E55" s="61">
        <v>2023</v>
      </c>
      <c r="F55" s="61">
        <v>0.57999999999999996</v>
      </c>
    </row>
    <row r="56" spans="1:6" x14ac:dyDescent="0.25">
      <c r="A56">
        <v>4</v>
      </c>
      <c r="B56" t="str">
        <v>ESTACION PUENTE VIA EL TRANVIA</v>
      </c>
      <c r="C56">
        <v>3.37</v>
      </c>
      <c r="D56">
        <v>2021</v>
      </c>
      <c r="E56" s="61">
        <v>2024</v>
      </c>
      <c r="F56" s="61">
        <v>0.26</v>
      </c>
    </row>
    <row r="57" spans="1:6" x14ac:dyDescent="0.25">
      <c r="A57">
        <v>4</v>
      </c>
      <c r="B57" t="str">
        <v>ESTACION PUENTE VIA EL TRANVIA</v>
      </c>
      <c r="C57">
        <v>0.7</v>
      </c>
      <c r="D57">
        <v>2021</v>
      </c>
      <c r="E57" s="61">
        <v>2024</v>
      </c>
      <c r="F57" s="61">
        <v>0.18</v>
      </c>
    </row>
    <row r="58" spans="1:6" x14ac:dyDescent="0.25">
      <c r="A58">
        <v>4</v>
      </c>
      <c r="B58" t="str">
        <v>ESTACION PUENTE VIA EL TRANVIA</v>
      </c>
      <c r="C58">
        <v>1.33</v>
      </c>
      <c r="D58">
        <v>2021</v>
      </c>
      <c r="E58" s="61">
        <v>2024</v>
      </c>
      <c r="F58" s="61">
        <v>0.1</v>
      </c>
    </row>
    <row r="59" spans="1:6" x14ac:dyDescent="0.25">
      <c r="A59">
        <v>4</v>
      </c>
      <c r="B59" t="str">
        <v>ESTACION PUENTE VIA EL TRANVIA</v>
      </c>
      <c r="C59">
        <v>1.2</v>
      </c>
      <c r="D59">
        <v>2022</v>
      </c>
      <c r="E59" s="61">
        <v>2024</v>
      </c>
      <c r="F59" s="61">
        <v>2.46</v>
      </c>
    </row>
    <row r="60" spans="1:6" x14ac:dyDescent="0.25">
      <c r="A60">
        <v>4</v>
      </c>
      <c r="B60" t="str">
        <v>ESTACION PUENTE VIA EL TRANVIA</v>
      </c>
      <c r="C60">
        <v>1.21</v>
      </c>
      <c r="D60">
        <v>2022</v>
      </c>
      <c r="E60" s="61">
        <v>2024</v>
      </c>
      <c r="F60" s="61">
        <v>0.26</v>
      </c>
    </row>
    <row r="61" spans="1:6" x14ac:dyDescent="0.25">
      <c r="A61">
        <v>4</v>
      </c>
      <c r="B61" t="str">
        <v>ESTACION PUENTE VIA EL TRANVIA</v>
      </c>
      <c r="C61">
        <v>0.89</v>
      </c>
      <c r="D61">
        <v>2022</v>
      </c>
      <c r="E61" s="61">
        <v>2024</v>
      </c>
      <c r="F61" s="61">
        <v>0.18</v>
      </c>
    </row>
    <row r="62" spans="1:6" x14ac:dyDescent="0.25">
      <c r="A62">
        <v>4</v>
      </c>
      <c r="B62" t="str">
        <v>ESTACION PUENTE VIA EL TRANVIA</v>
      </c>
      <c r="C62">
        <v>2.2000000000000002</v>
      </c>
      <c r="D62">
        <v>2023</v>
      </c>
      <c r="E62" s="61">
        <v>2024</v>
      </c>
      <c r="F62" s="61">
        <v>0.44</v>
      </c>
    </row>
    <row r="63" spans="1:6" x14ac:dyDescent="0.25">
      <c r="A63">
        <v>4</v>
      </c>
      <c r="B63" t="str">
        <v>ESTACION PUENTE VIA EL TRANVIA</v>
      </c>
      <c r="C63">
        <v>1.54</v>
      </c>
      <c r="D63">
        <v>2023</v>
      </c>
      <c r="E63" s="61">
        <v>2024</v>
      </c>
      <c r="F63" s="61">
        <v>0.2</v>
      </c>
    </row>
    <row r="64" spans="1:6" x14ac:dyDescent="0.25">
      <c r="A64">
        <v>4</v>
      </c>
      <c r="B64" t="str">
        <v>ESTACION PUENTE VIA EL TRANVIA</v>
      </c>
      <c r="C64">
        <v>0.57999999999999996</v>
      </c>
      <c r="D64">
        <v>2023</v>
      </c>
      <c r="E64" s="61">
        <v>2024</v>
      </c>
      <c r="F64" s="61">
        <v>1.84</v>
      </c>
    </row>
    <row r="65" spans="1:6" x14ac:dyDescent="0.25">
      <c r="A65">
        <v>4</v>
      </c>
      <c r="B65" t="str">
        <v>ESTACION PUENTE VIA EL TRANVIA</v>
      </c>
      <c r="C65">
        <v>1.1599999999999999</v>
      </c>
      <c r="D65">
        <v>2024</v>
      </c>
      <c r="E65" s="61">
        <v>2024</v>
      </c>
      <c r="F65" s="61">
        <v>1.1599999999999999</v>
      </c>
    </row>
    <row r="66" spans="1:6" x14ac:dyDescent="0.25">
      <c r="A66">
        <v>4</v>
      </c>
      <c r="B66" t="str">
        <v>ESTACION PUENTE VIA EL TRANVIA</v>
      </c>
      <c r="C66">
        <v>0.24</v>
      </c>
      <c r="D66">
        <v>2024</v>
      </c>
      <c r="E66" s="61">
        <v>2024</v>
      </c>
      <c r="F66" s="61">
        <v>0.24</v>
      </c>
    </row>
    <row r="67" spans="1:6" x14ac:dyDescent="0.25">
      <c r="A67">
        <v>4</v>
      </c>
      <c r="B67" t="str">
        <v>ESTACION PUENTE VIA EL TRANVIA</v>
      </c>
      <c r="C67">
        <v>0.5</v>
      </c>
      <c r="D67">
        <v>2024</v>
      </c>
      <c r="E67" s="61">
        <v>2024</v>
      </c>
      <c r="F67" s="61">
        <v>0.5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0D372-C453-495B-8E25-DF65B9FB75D8}">
  <sheetPr>
    <tabColor theme="5" tint="-0.249977111117893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121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λ=620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PUENTE LARGA</v>
      </c>
      <c r="C4" cm="1">
        <f t="array" ref="C4:C67">_xlfn._xlws.FILTER(CHOOSE(3,'Resultados historicos'!C:C,'Resultados historicos'!D:D,'Resultados historicos'!Q:Q,'Resultados historicos'!A:A),'Resultados historicos'!H:H=A2)</f>
        <v>0.1</v>
      </c>
      <c r="D4" cm="1">
        <f t="array" ref="D4:D67">_xlfn._xlws.FILTER(CHOOSE(4,'Resultados historicos'!C:C,'Resultados historicos'!D:D,'Resultados historicos'!O:O,'Resultados historicos'!A:A),'Resultados historicos'!H:H=A2)</f>
        <v>2019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PUENTE LARGA</v>
      </c>
      <c r="C5">
        <v>0.1</v>
      </c>
      <c r="D5">
        <v>2020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PUENTE LARGA</v>
      </c>
      <c r="C6">
        <v>0.1</v>
      </c>
      <c r="D6">
        <v>2020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PUENTE LARGA</v>
      </c>
      <c r="C7">
        <v>0.1</v>
      </c>
      <c r="D7">
        <v>2020</v>
      </c>
      <c r="E7" s="61">
        <v>2019</v>
      </c>
      <c r="F7" s="61">
        <v>0.5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PUENTE LARGA</v>
      </c>
      <c r="C8">
        <v>0.2</v>
      </c>
      <c r="D8">
        <v>2021</v>
      </c>
      <c r="E8" s="61">
        <v>2020</v>
      </c>
      <c r="F8" s="61">
        <v>0.1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PUENTE LARGA</v>
      </c>
      <c r="C9">
        <v>0.1</v>
      </c>
      <c r="D9">
        <v>2021</v>
      </c>
      <c r="E9" s="61">
        <v>2020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PUENTE LARGA</v>
      </c>
      <c r="C10">
        <v>0.12</v>
      </c>
      <c r="D10">
        <v>2021</v>
      </c>
      <c r="E10" s="61">
        <v>2020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PUENTE LARGA</v>
      </c>
      <c r="C11">
        <v>0.2</v>
      </c>
      <c r="D11">
        <v>2022</v>
      </c>
      <c r="E11" s="61">
        <v>2020</v>
      </c>
      <c r="F11" s="61">
        <v>0.3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PUENTE LARGA</v>
      </c>
      <c r="C12">
        <v>0.06</v>
      </c>
      <c r="D12">
        <v>2022</v>
      </c>
      <c r="E12" s="61">
        <v>2020</v>
      </c>
      <c r="F12" s="61">
        <v>0.1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PUENTE LARGA</v>
      </c>
      <c r="C13">
        <v>0.06</v>
      </c>
      <c r="D13">
        <v>2022</v>
      </c>
      <c r="E13" s="61">
        <v>2020</v>
      </c>
      <c r="F13" s="61">
        <v>0.2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PUENTE LARGA</v>
      </c>
      <c r="C14">
        <v>0.1</v>
      </c>
      <c r="D14">
        <v>2023</v>
      </c>
      <c r="E14" s="61">
        <v>2020</v>
      </c>
      <c r="F14" s="61">
        <v>0.3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PUENTE LARGA</v>
      </c>
      <c r="C15">
        <v>0.08</v>
      </c>
      <c r="D15">
        <v>2023</v>
      </c>
      <c r="E15" s="61">
        <v>2020</v>
      </c>
      <c r="F15" s="61">
        <v>0.1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PUENTE LARGA</v>
      </c>
      <c r="C16">
        <v>0.32</v>
      </c>
      <c r="D16">
        <v>2023</v>
      </c>
      <c r="E16" s="61">
        <v>2020</v>
      </c>
      <c r="F16" s="61">
        <v>0.3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PUENTE LARGA</v>
      </c>
      <c r="C17">
        <v>0.14000000000000001</v>
      </c>
      <c r="D17">
        <v>2024</v>
      </c>
      <c r="E17" s="61">
        <v>2020</v>
      </c>
      <c r="F17" s="61">
        <v>1.4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PUENTE LARGA</v>
      </c>
      <c r="C18">
        <v>0.08</v>
      </c>
      <c r="D18">
        <v>2024</v>
      </c>
      <c r="E18" s="61">
        <v>2020</v>
      </c>
      <c r="F18" s="61">
        <v>0.2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PUENTE LARGA</v>
      </c>
      <c r="C19">
        <v>0.1</v>
      </c>
      <c r="D19">
        <v>2024</v>
      </c>
      <c r="E19" s="61">
        <v>2020</v>
      </c>
      <c r="F19" s="61">
        <v>0.7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FLOR SILVESTRE</v>
      </c>
      <c r="C20">
        <v>0.1</v>
      </c>
      <c r="D20">
        <v>2019</v>
      </c>
      <c r="E20" s="61">
        <v>2021</v>
      </c>
      <c r="F20" s="61">
        <v>0.2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FLOR SILVESTRE</v>
      </c>
      <c r="C21">
        <v>0.3</v>
      </c>
      <c r="D21">
        <v>2020</v>
      </c>
      <c r="E21" s="61">
        <v>2021</v>
      </c>
      <c r="F21" s="61">
        <v>0.1</v>
      </c>
      <c r="H21" s="131"/>
      <c r="I21" s="131"/>
      <c r="J21" s="131"/>
      <c r="K21" s="131"/>
      <c r="L21" s="131"/>
      <c r="M21" s="131"/>
      <c r="N21" s="131"/>
      <c r="O21" s="137" t="str">
        <f>H30</f>
        <v>λ=620 (m⁻¹)</v>
      </c>
      <c r="P21" s="137"/>
      <c r="Q21" s="137"/>
      <c r="R21" s="137"/>
      <c r="S21" s="137"/>
      <c r="T21" s="137"/>
      <c r="W21" s="138" t="str">
        <f>O21</f>
        <v>λ=620 (m⁻¹)</v>
      </c>
      <c r="X21" s="138"/>
      <c r="Y21" s="138"/>
    </row>
    <row r="22" spans="1:25" x14ac:dyDescent="0.25">
      <c r="A22">
        <v>2</v>
      </c>
      <c r="B22" t="str">
        <v>ESTACION FLOR SILVESTRE</v>
      </c>
      <c r="C22">
        <v>0.1</v>
      </c>
      <c r="D22">
        <v>2020</v>
      </c>
      <c r="E22" s="61">
        <v>2021</v>
      </c>
      <c r="F22" s="61">
        <v>0.12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FLOR SILVESTRE</v>
      </c>
      <c r="C23">
        <v>0.2</v>
      </c>
      <c r="D23">
        <v>2020</v>
      </c>
      <c r="E23" s="61">
        <v>2021</v>
      </c>
      <c r="F23" s="61">
        <v>0.96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0.2</v>
      </c>
      <c r="S23" s="10">
        <f t="shared" ref="S23:S28" si="3">_xlfn.MAXIFS(_xlfn.ANCHORARRAY($C$4),_xlfn.ANCHORARRAY($D$4),O23)</f>
        <v>0.5</v>
      </c>
      <c r="T23" s="10" cm="1">
        <f t="array" ref="T23">_xlfn.STDEV.S(_xlfn._xlws.FILTER(_xlfn.ANCHORARRAY($C$4),_xlfn.ANCHORARRAY($D$4)=O23))</f>
        <v>0.2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FLOR SILVESTRE</v>
      </c>
      <c r="C24">
        <v>0.96</v>
      </c>
      <c r="D24">
        <v>2021</v>
      </c>
      <c r="E24" s="61">
        <v>2021</v>
      </c>
      <c r="F24" s="61">
        <v>0.1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0.1</v>
      </c>
      <c r="R24" s="10">
        <f t="shared" si="2"/>
        <v>0.32500000000000001</v>
      </c>
      <c r="S24" s="10">
        <f t="shared" si="3"/>
        <v>1.4</v>
      </c>
      <c r="T24" s="10" cm="1">
        <f t="array" ref="T24">_xlfn.STDEV.S(_xlfn._xlws.FILTER(_xlfn.ANCHORARRAY($C$4),_xlfn.ANCHORARRAY($D$4)=O24))</f>
        <v>0.37929360179633442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FLOR SILVESTRE</v>
      </c>
      <c r="C25">
        <v>0.1</v>
      </c>
      <c r="D25">
        <v>2021</v>
      </c>
      <c r="E25" s="61">
        <v>2021</v>
      </c>
      <c r="F25" s="61">
        <v>0.38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0.1</v>
      </c>
      <c r="R25" s="10">
        <f t="shared" si="2"/>
        <v>0.43083333333333335</v>
      </c>
      <c r="S25" s="10">
        <f t="shared" si="3"/>
        <v>1.57</v>
      </c>
      <c r="T25" s="10" cm="1">
        <f t="array" ref="T25">_xlfn.STDEV.S(_xlfn._xlws.FILTER(_xlfn.ANCHORARRAY($C$4),_xlfn.ANCHORARRAY($D$4)=O25))</f>
        <v>0.45502164450682681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FLOR SILVESTRE</v>
      </c>
      <c r="C26">
        <v>0.38</v>
      </c>
      <c r="D26">
        <v>2021</v>
      </c>
      <c r="E26" s="61">
        <v>2021</v>
      </c>
      <c r="F26" s="61">
        <v>0.14000000000000001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0.06</v>
      </c>
      <c r="R26" s="10">
        <f t="shared" si="2"/>
        <v>0.29416666666666663</v>
      </c>
      <c r="S26" s="10">
        <f t="shared" si="3"/>
        <v>0.84</v>
      </c>
      <c r="T26" s="10" cm="1">
        <f t="array" ref="T26">_xlfn.STDEV.S(_xlfn._xlws.FILTER(_xlfn.ANCHORARRAY($C$4),_xlfn.ANCHORARRAY($D$4)=O26))</f>
        <v>0.27681494748570773</v>
      </c>
      <c r="V26" t="s">
        <v>565</v>
      </c>
      <c r="W26" s="1" t="str">
        <f>TEXT(R29,"0,00")&amp;" ± "&amp;TEXT((W25*T29/SQRT(P29)),"0,00")</f>
        <v>0,39 ± 0,09</v>
      </c>
      <c r="X26" s="1" t="str">
        <f>TEXT(R29,"0,00")&amp;" ± "&amp;TEXT((X25*T29/SQRT(P29)),"0,00")</f>
        <v>0,39 ± 0,11</v>
      </c>
      <c r="Y26" s="1" t="str">
        <f>TEXT(R29,"0,00")&amp;" ± "&amp;TEXT((Y25*T29/SQRT(P29)),"0,00")</f>
        <v>0,39 ± 0,15</v>
      </c>
    </row>
    <row r="27" spans="1:25" x14ac:dyDescent="0.25">
      <c r="A27">
        <v>2</v>
      </c>
      <c r="B27" t="str">
        <v>ESTACION FLOR SILVESTRE</v>
      </c>
      <c r="C27">
        <v>0.68</v>
      </c>
      <c r="D27">
        <v>2022</v>
      </c>
      <c r="E27" s="61">
        <v>2021</v>
      </c>
      <c r="F27" s="61">
        <v>0.4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0.08</v>
      </c>
      <c r="R27" s="10">
        <f t="shared" si="2"/>
        <v>0.48500000000000004</v>
      </c>
      <c r="S27" s="10">
        <f t="shared" si="3"/>
        <v>1.76</v>
      </c>
      <c r="T27" s="10" cm="1">
        <f t="array" ref="T27">_xlfn.STDEV.S(_xlfn._xlws.FILTER(_xlfn.ANCHORARRAY($C$4),_xlfn.ANCHORARRAY($D$4)=O27))</f>
        <v>0.56143485010203176</v>
      </c>
      <c r="V27" t="s">
        <v>566</v>
      </c>
      <c r="W27" s="10">
        <f>R29-(W25*T29/SQRT(P29))</f>
        <v>0.29426286732126827</v>
      </c>
      <c r="X27" s="10">
        <f>R29-(X25*T29/SQRT(P29))</f>
        <v>0.27646097069509101</v>
      </c>
      <c r="Y27" s="10">
        <f>R29-(Y25*T29/SQRT(P29))</f>
        <v>0.24166817356667186</v>
      </c>
    </row>
    <row r="28" spans="1:25" x14ac:dyDescent="0.25">
      <c r="A28">
        <v>2</v>
      </c>
      <c r="B28" t="str">
        <v>ESTACION FLOR SILVESTRE</v>
      </c>
      <c r="C28">
        <v>0.08</v>
      </c>
      <c r="D28">
        <v>2022</v>
      </c>
      <c r="E28" s="61">
        <v>2021</v>
      </c>
      <c r="F28" s="61">
        <v>0.2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0.08</v>
      </c>
      <c r="R28" s="10">
        <f t="shared" si="2"/>
        <v>0.46333333333333337</v>
      </c>
      <c r="S28" s="10">
        <f t="shared" si="3"/>
        <v>1.7</v>
      </c>
      <c r="T28" s="10" cm="1">
        <f t="array" ref="T28">_xlfn.STDEV.S(_xlfn._xlws.FILTER(_xlfn.ANCHORARRAY($C$4),_xlfn.ANCHORARRAY($D$4)=O28))</f>
        <v>0.60907281746084918</v>
      </c>
      <c r="V28" t="s">
        <v>567</v>
      </c>
      <c r="W28" s="10">
        <f>R29+(W25*T29/SQRT(P29))</f>
        <v>0.48011213267873187</v>
      </c>
      <c r="X28" s="10">
        <f>R29+(X25*T29/SQRT(P29))</f>
        <v>0.49791402930490913</v>
      </c>
      <c r="Y28" s="10">
        <f>R29+(Y25*T29/SQRT(P29))</f>
        <v>0.53270682643332834</v>
      </c>
    </row>
    <row r="29" spans="1:25" x14ac:dyDescent="0.25">
      <c r="A29">
        <v>2</v>
      </c>
      <c r="B29" t="str">
        <v>ESTACION FLOR SILVESTRE</v>
      </c>
      <c r="C29">
        <v>0.18</v>
      </c>
      <c r="D29">
        <v>2022</v>
      </c>
      <c r="E29" s="61">
        <v>2021</v>
      </c>
      <c r="F29" s="61">
        <v>1.57</v>
      </c>
      <c r="O29" t="s">
        <v>568</v>
      </c>
      <c r="P29" s="1">
        <f>SUM(P23:P28)</f>
        <v>64</v>
      </c>
      <c r="R29" s="10">
        <f>AVERAGE(_xlfn.ANCHORARRAY(C4))</f>
        <v>0.38718750000000007</v>
      </c>
      <c r="T29" s="10">
        <f>_xlfn.STDEV.S(_xlfn.ANCHORARRAY(C4))</f>
        <v>0.45195332231941321</v>
      </c>
    </row>
    <row r="30" spans="1:25" x14ac:dyDescent="0.25">
      <c r="A30">
        <v>2</v>
      </c>
      <c r="B30" t="str">
        <v>ESTACION FLOR SILVESTRE</v>
      </c>
      <c r="C30">
        <v>1.42</v>
      </c>
      <c r="D30">
        <v>2023</v>
      </c>
      <c r="E30" s="61">
        <v>2021</v>
      </c>
      <c r="F30" s="61">
        <v>0.2</v>
      </c>
      <c r="H30" s="137" t="str">
        <f>'Estadistico resumen'!$O$1</f>
        <v>λ=620 (m⁻¹)</v>
      </c>
      <c r="I30" s="137"/>
      <c r="J30" s="137"/>
      <c r="K30" s="137"/>
      <c r="L30" s="137"/>
      <c r="M30" s="137"/>
      <c r="N30" s="137"/>
    </row>
    <row r="31" spans="1:25" x14ac:dyDescent="0.25">
      <c r="A31">
        <v>2</v>
      </c>
      <c r="B31" t="str">
        <v>ESTACION FLOR SILVESTRE</v>
      </c>
      <c r="C31">
        <v>0.64</v>
      </c>
      <c r="D31">
        <v>2023</v>
      </c>
      <c r="E31" s="61">
        <v>2021</v>
      </c>
      <c r="F31" s="61">
        <v>0.8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FLOR SILVESTRE</v>
      </c>
      <c r="C32">
        <v>0.14000000000000001</v>
      </c>
      <c r="D32">
        <v>2023</v>
      </c>
      <c r="E32" s="61">
        <v>2022</v>
      </c>
      <c r="F32" s="61">
        <v>0.2</v>
      </c>
      <c r="H32" s="1" cm="1">
        <f t="array" ref="H32:H35">_xlfn._xlws.SORT(_xlfn.UNIQUE(_xlfn.ANCHORARRAY(A4)))</f>
        <v>1</v>
      </c>
      <c r="I32" t="str">
        <f>IFERROR(VLOOKUP(H32,$A$4:$B$161,2),"")</f>
        <v>ESTACION PUENTE LARGA</v>
      </c>
      <c r="J32" s="46">
        <f>COUNTIF(_xlfn.ANCHORARRAY($B$4),I32)</f>
        <v>16</v>
      </c>
      <c r="K32" s="10">
        <f>_xlfn.MINIFS(_xlfn.ANCHORARRAY($C$4),_xlfn.ANCHORARRAY($B$4),I32)</f>
        <v>0.06</v>
      </c>
      <c r="L32" s="10">
        <f>SUMIFS(_xlfn.ANCHORARRAY($C$4),_xlfn.ANCHORARRAY($B$4),I32)/J32</f>
        <v>0.12250000000000003</v>
      </c>
      <c r="M32" s="10">
        <f>_xlfn.MAXIFS(_xlfn.ANCHORARRAY($C$4),_xlfn.ANCHORARRAY($B$4),I32)</f>
        <v>0.32</v>
      </c>
      <c r="N32" s="10" cm="1">
        <f t="array" ref="N32">_xlfn.STDEV.S(_xlfn._xlws.FILTER(_xlfn.ANCHORARRAY($C$4),_xlfn.ANCHORARRAY($B$4)=I32))</f>
        <v>6.6483080554378626E-2</v>
      </c>
    </row>
    <row r="33" spans="1:14" x14ac:dyDescent="0.25">
      <c r="A33">
        <v>2</v>
      </c>
      <c r="B33" t="str">
        <v>ESTACION FLOR SILVESTRE</v>
      </c>
      <c r="C33">
        <v>1.7</v>
      </c>
      <c r="D33">
        <v>2024</v>
      </c>
      <c r="E33" s="61">
        <v>2022</v>
      </c>
      <c r="F33" s="61">
        <v>0.06</v>
      </c>
      <c r="H33" s="1">
        <v>2</v>
      </c>
      <c r="I33" t="str">
        <f t="shared" ref="I33:I35" si="4">VLOOKUP(H33,$A$4:$B$161,2)</f>
        <v>ESTACION FLOR SILVESTRE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0.08</v>
      </c>
      <c r="L33" s="10">
        <f t="shared" ref="L33:L35" si="7">SUMIFS(_xlfn.ANCHORARRAY($C$4),_xlfn.ANCHORARRAY($B$4),I33)/J33</f>
        <v>0.45999999999999996</v>
      </c>
      <c r="M33" s="10">
        <f t="shared" ref="M33:M35" si="8">_xlfn.MAXIFS(_xlfn.ANCHORARRAY($C$4),_xlfn.ANCHORARRAY($B$4),I33)</f>
        <v>1.7</v>
      </c>
      <c r="N33" s="10" cm="1">
        <f t="array" ref="N33">_xlfn.STDEV.S(_xlfn._xlws.FILTER(_xlfn.ANCHORARRAY($C$4),_xlfn.ANCHORARRAY($B$4)=I33))</f>
        <v>0.50007999360102373</v>
      </c>
    </row>
    <row r="34" spans="1:14" x14ac:dyDescent="0.25">
      <c r="A34">
        <v>2</v>
      </c>
      <c r="B34" t="str">
        <v>ESTACION FLOR SILVESTRE</v>
      </c>
      <c r="C34">
        <v>0.16</v>
      </c>
      <c r="D34">
        <v>2024</v>
      </c>
      <c r="E34" s="61">
        <v>2022</v>
      </c>
      <c r="F34" s="61">
        <v>0.06</v>
      </c>
      <c r="H34" s="1">
        <v>3</v>
      </c>
      <c r="I34" t="str">
        <f t="shared" si="4"/>
        <v>ESTACION COLTEPUNTO</v>
      </c>
      <c r="J34" s="46">
        <f t="shared" si="5"/>
        <v>16</v>
      </c>
      <c r="K34" s="10">
        <f t="shared" si="6"/>
        <v>0.06</v>
      </c>
      <c r="L34" s="10">
        <f t="shared" si="7"/>
        <v>0.26500000000000001</v>
      </c>
      <c r="M34" s="10">
        <f t="shared" si="8"/>
        <v>1.7</v>
      </c>
      <c r="N34" s="10" cm="1">
        <f t="array" ref="N34">_xlfn.STDEV.S(_xlfn._xlws.FILTER(_xlfn.ANCHORARRAY($C$4),_xlfn.ANCHORARRAY($B$4)=I34))</f>
        <v>0.39533951653399546</v>
      </c>
    </row>
    <row r="35" spans="1:14" x14ac:dyDescent="0.25">
      <c r="A35">
        <v>2</v>
      </c>
      <c r="B35" t="str">
        <v>ESTACION FLOR SILVESTRE</v>
      </c>
      <c r="C35">
        <v>0.22</v>
      </c>
      <c r="D35">
        <v>2024</v>
      </c>
      <c r="E35" s="61">
        <v>2022</v>
      </c>
      <c r="F35" s="61">
        <v>0.68</v>
      </c>
      <c r="H35" s="1">
        <v>4</v>
      </c>
      <c r="I35" t="str">
        <f t="shared" si="4"/>
        <v>ESTACION PUENTE VIA EL TRANVIA</v>
      </c>
      <c r="J35" s="46">
        <f t="shared" si="5"/>
        <v>16</v>
      </c>
      <c r="K35" s="10">
        <f t="shared" si="6"/>
        <v>0.12</v>
      </c>
      <c r="L35" s="10">
        <f t="shared" si="7"/>
        <v>0.70124999999999993</v>
      </c>
      <c r="M35" s="10">
        <f t="shared" si="8"/>
        <v>1.76</v>
      </c>
      <c r="N35" s="10" cm="1">
        <f t="array" ref="N35">_xlfn.STDEV.S(_xlfn._xlws.FILTER(_xlfn.ANCHORARRAY($C$4),_xlfn.ANCHORARRAY($B$4)=I35))</f>
        <v>0.49556533373511924</v>
      </c>
    </row>
    <row r="36" spans="1:14" x14ac:dyDescent="0.25">
      <c r="A36">
        <v>3</v>
      </c>
      <c r="B36" t="str">
        <v>ESTACION COLTEPUNTO</v>
      </c>
      <c r="C36">
        <v>0.1</v>
      </c>
      <c r="D36">
        <v>2019</v>
      </c>
      <c r="E36" s="61">
        <v>2022</v>
      </c>
      <c r="F36" s="61">
        <v>0.08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COLTEPUNTO</v>
      </c>
      <c r="C37">
        <v>0.3</v>
      </c>
      <c r="D37">
        <v>2020</v>
      </c>
      <c r="E37" s="61">
        <v>2022</v>
      </c>
      <c r="F37" s="61">
        <v>0.18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COLTEPUNTO</v>
      </c>
      <c r="C38">
        <v>0.1</v>
      </c>
      <c r="D38">
        <v>2020</v>
      </c>
      <c r="E38" s="61">
        <v>2022</v>
      </c>
      <c r="F38" s="61">
        <v>0.24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COLTEPUNTO</v>
      </c>
      <c r="C39">
        <v>0.3</v>
      </c>
      <c r="D39">
        <v>2020</v>
      </c>
      <c r="E39" s="61">
        <v>2022</v>
      </c>
      <c r="F39" s="61">
        <v>0.06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COLTEPUNTO</v>
      </c>
      <c r="C40">
        <v>0.14000000000000001</v>
      </c>
      <c r="D40">
        <v>2021</v>
      </c>
      <c r="E40" s="61">
        <v>2022</v>
      </c>
      <c r="F40" s="61">
        <v>0.08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COLTEPUNTO</v>
      </c>
      <c r="C41">
        <v>0.4</v>
      </c>
      <c r="D41">
        <v>2021</v>
      </c>
      <c r="E41" s="61">
        <v>2022</v>
      </c>
      <c r="F41" s="61">
        <v>0.84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COLTEPUNTO</v>
      </c>
      <c r="C42">
        <v>0.2</v>
      </c>
      <c r="D42">
        <v>2021</v>
      </c>
      <c r="E42" s="61">
        <v>2022</v>
      </c>
      <c r="F42" s="61">
        <v>0.59</v>
      </c>
    </row>
    <row r="43" spans="1:14" x14ac:dyDescent="0.25">
      <c r="A43">
        <v>3</v>
      </c>
      <c r="B43" t="str">
        <v>ESTACION COLTEPUNTO</v>
      </c>
      <c r="C43">
        <v>0.24</v>
      </c>
      <c r="D43">
        <v>2022</v>
      </c>
      <c r="E43" s="61">
        <v>2022</v>
      </c>
      <c r="F43" s="61">
        <v>0.46</v>
      </c>
    </row>
    <row r="44" spans="1:14" x14ac:dyDescent="0.25">
      <c r="A44">
        <v>3</v>
      </c>
      <c r="B44" t="str">
        <v>ESTACION COLTEPUNTO</v>
      </c>
      <c r="C44">
        <v>0.06</v>
      </c>
      <c r="D44">
        <v>2022</v>
      </c>
      <c r="E44" s="61">
        <v>2023</v>
      </c>
      <c r="F44" s="61">
        <v>0.1</v>
      </c>
    </row>
    <row r="45" spans="1:14" x14ac:dyDescent="0.25">
      <c r="A45">
        <v>3</v>
      </c>
      <c r="B45" t="str">
        <v>ESTACION COLTEPUNTO</v>
      </c>
      <c r="C45">
        <v>0.08</v>
      </c>
      <c r="D45">
        <v>2022</v>
      </c>
      <c r="E45" s="61">
        <v>2023</v>
      </c>
      <c r="F45" s="61">
        <v>0.08</v>
      </c>
    </row>
    <row r="46" spans="1:14" x14ac:dyDescent="0.25">
      <c r="A46">
        <v>3</v>
      </c>
      <c r="B46" t="str">
        <v>ESTACION COLTEPUNTO</v>
      </c>
      <c r="C46">
        <v>0.1</v>
      </c>
      <c r="D46">
        <v>2023</v>
      </c>
      <c r="E46" s="61">
        <v>2023</v>
      </c>
      <c r="F46" s="61">
        <v>0.32</v>
      </c>
    </row>
    <row r="47" spans="1:14" x14ac:dyDescent="0.25">
      <c r="A47">
        <v>3</v>
      </c>
      <c r="B47" t="str">
        <v>ESTACION COLTEPUNTO</v>
      </c>
      <c r="C47">
        <v>0.14000000000000001</v>
      </c>
      <c r="D47">
        <v>2023</v>
      </c>
      <c r="E47" s="61">
        <v>2023</v>
      </c>
      <c r="F47" s="61">
        <v>1.42</v>
      </c>
    </row>
    <row r="48" spans="1:14" x14ac:dyDescent="0.25">
      <c r="A48">
        <v>3</v>
      </c>
      <c r="B48" t="str">
        <v>ESTACION COLTEPUNTO</v>
      </c>
      <c r="C48">
        <v>0.08</v>
      </c>
      <c r="D48">
        <v>2023</v>
      </c>
      <c r="E48" s="61">
        <v>2023</v>
      </c>
      <c r="F48" s="61">
        <v>0.64</v>
      </c>
    </row>
    <row r="49" spans="1:6" x14ac:dyDescent="0.25">
      <c r="A49">
        <v>3</v>
      </c>
      <c r="B49" t="str">
        <v>ESTACION COLTEPUNTO</v>
      </c>
      <c r="C49">
        <v>0.22</v>
      </c>
      <c r="D49">
        <v>2024</v>
      </c>
      <c r="E49" s="61">
        <v>2023</v>
      </c>
      <c r="F49" s="61">
        <v>0.14000000000000001</v>
      </c>
    </row>
    <row r="50" spans="1:6" x14ac:dyDescent="0.25">
      <c r="A50">
        <v>3</v>
      </c>
      <c r="B50" t="str">
        <v>ESTACION COLTEPUNTO</v>
      </c>
      <c r="C50">
        <v>0.08</v>
      </c>
      <c r="D50">
        <v>2024</v>
      </c>
      <c r="E50" s="61">
        <v>2023</v>
      </c>
      <c r="F50" s="61">
        <v>0.1</v>
      </c>
    </row>
    <row r="51" spans="1:6" x14ac:dyDescent="0.25">
      <c r="A51">
        <v>3</v>
      </c>
      <c r="B51" t="str">
        <v>ESTACION COLTEPUNTO</v>
      </c>
      <c r="C51">
        <v>1.7</v>
      </c>
      <c r="D51">
        <v>2024</v>
      </c>
      <c r="E51" s="61">
        <v>2023</v>
      </c>
      <c r="F51" s="61">
        <v>0.14000000000000001</v>
      </c>
    </row>
    <row r="52" spans="1:6" x14ac:dyDescent="0.25">
      <c r="A52">
        <v>4</v>
      </c>
      <c r="B52" t="str">
        <v>ESTACION PUENTE VIA EL TRANVIA</v>
      </c>
      <c r="C52">
        <v>0.5</v>
      </c>
      <c r="D52">
        <v>2019</v>
      </c>
      <c r="E52" s="61">
        <v>2023</v>
      </c>
      <c r="F52" s="61">
        <v>0.08</v>
      </c>
    </row>
    <row r="53" spans="1:6" x14ac:dyDescent="0.25">
      <c r="A53">
        <v>4</v>
      </c>
      <c r="B53" t="str">
        <v>ESTACION PUENTE VIA EL TRANVIA</v>
      </c>
      <c r="C53">
        <v>1.4</v>
      </c>
      <c r="D53">
        <v>2020</v>
      </c>
      <c r="E53" s="61">
        <v>2023</v>
      </c>
      <c r="F53" s="61">
        <v>1.76</v>
      </c>
    </row>
    <row r="54" spans="1:6" x14ac:dyDescent="0.25">
      <c r="A54">
        <v>4</v>
      </c>
      <c r="B54" t="str">
        <v>ESTACION PUENTE VIA EL TRANVIA</v>
      </c>
      <c r="C54">
        <v>0.2</v>
      </c>
      <c r="D54">
        <v>2020</v>
      </c>
      <c r="E54" s="61">
        <v>2023</v>
      </c>
      <c r="F54" s="61">
        <v>0.68</v>
      </c>
    </row>
    <row r="55" spans="1:6" x14ac:dyDescent="0.25">
      <c r="A55">
        <v>4</v>
      </c>
      <c r="B55" t="str">
        <v>ESTACION PUENTE VIA EL TRANVIA</v>
      </c>
      <c r="C55">
        <v>0.7</v>
      </c>
      <c r="D55">
        <v>2020</v>
      </c>
      <c r="E55" s="61">
        <v>2023</v>
      </c>
      <c r="F55" s="61">
        <v>0.36</v>
      </c>
    </row>
    <row r="56" spans="1:6" x14ac:dyDescent="0.25">
      <c r="A56">
        <v>4</v>
      </c>
      <c r="B56" t="str">
        <v>ESTACION PUENTE VIA EL TRANVIA</v>
      </c>
      <c r="C56">
        <v>1.57</v>
      </c>
      <c r="D56">
        <v>2021</v>
      </c>
      <c r="E56" s="61">
        <v>2024</v>
      </c>
      <c r="F56" s="61">
        <v>0.14000000000000001</v>
      </c>
    </row>
    <row r="57" spans="1:6" x14ac:dyDescent="0.25">
      <c r="A57">
        <v>4</v>
      </c>
      <c r="B57" t="str">
        <v>ESTACION PUENTE VIA EL TRANVIA</v>
      </c>
      <c r="C57">
        <v>0.2</v>
      </c>
      <c r="D57">
        <v>2021</v>
      </c>
      <c r="E57" s="61">
        <v>2024</v>
      </c>
      <c r="F57" s="61">
        <v>0.08</v>
      </c>
    </row>
    <row r="58" spans="1:6" x14ac:dyDescent="0.25">
      <c r="A58">
        <v>4</v>
      </c>
      <c r="B58" t="str">
        <v>ESTACION PUENTE VIA EL TRANVIA</v>
      </c>
      <c r="C58">
        <v>0.8</v>
      </c>
      <c r="D58">
        <v>2021</v>
      </c>
      <c r="E58" s="61">
        <v>2024</v>
      </c>
      <c r="F58" s="61">
        <v>0.1</v>
      </c>
    </row>
    <row r="59" spans="1:6" x14ac:dyDescent="0.25">
      <c r="A59">
        <v>4</v>
      </c>
      <c r="B59" t="str">
        <v>ESTACION PUENTE VIA EL TRANVIA</v>
      </c>
      <c r="C59">
        <v>0.84</v>
      </c>
      <c r="D59">
        <v>2022</v>
      </c>
      <c r="E59" s="61">
        <v>2024</v>
      </c>
      <c r="F59" s="61">
        <v>1.7</v>
      </c>
    </row>
    <row r="60" spans="1:6" x14ac:dyDescent="0.25">
      <c r="A60">
        <v>4</v>
      </c>
      <c r="B60" t="str">
        <v>ESTACION PUENTE VIA EL TRANVIA</v>
      </c>
      <c r="C60">
        <v>0.59</v>
      </c>
      <c r="D60">
        <v>2022</v>
      </c>
      <c r="E60" s="61">
        <v>2024</v>
      </c>
      <c r="F60" s="61">
        <v>0.16</v>
      </c>
    </row>
    <row r="61" spans="1:6" x14ac:dyDescent="0.25">
      <c r="A61">
        <v>4</v>
      </c>
      <c r="B61" t="str">
        <v>ESTACION PUENTE VIA EL TRANVIA</v>
      </c>
      <c r="C61">
        <v>0.46</v>
      </c>
      <c r="D61">
        <v>2022</v>
      </c>
      <c r="E61" s="61">
        <v>2024</v>
      </c>
      <c r="F61" s="61">
        <v>0.22</v>
      </c>
    </row>
    <row r="62" spans="1:6" x14ac:dyDescent="0.25">
      <c r="A62">
        <v>4</v>
      </c>
      <c r="B62" t="str">
        <v>ESTACION PUENTE VIA EL TRANVIA</v>
      </c>
      <c r="C62">
        <v>1.76</v>
      </c>
      <c r="D62">
        <v>2023</v>
      </c>
      <c r="E62" s="61">
        <v>2024</v>
      </c>
      <c r="F62" s="61">
        <v>0.22</v>
      </c>
    </row>
    <row r="63" spans="1:6" x14ac:dyDescent="0.25">
      <c r="A63">
        <v>4</v>
      </c>
      <c r="B63" t="str">
        <v>ESTACION PUENTE VIA EL TRANVIA</v>
      </c>
      <c r="C63">
        <v>0.68</v>
      </c>
      <c r="D63">
        <v>2023</v>
      </c>
      <c r="E63" s="61">
        <v>2024</v>
      </c>
      <c r="F63" s="61">
        <v>0.08</v>
      </c>
    </row>
    <row r="64" spans="1:6" x14ac:dyDescent="0.25">
      <c r="A64">
        <v>4</v>
      </c>
      <c r="B64" t="str">
        <v>ESTACION PUENTE VIA EL TRANVIA</v>
      </c>
      <c r="C64">
        <v>0.36</v>
      </c>
      <c r="D64">
        <v>2023</v>
      </c>
      <c r="E64" s="61">
        <v>2024</v>
      </c>
      <c r="F64" s="61">
        <v>1.7</v>
      </c>
    </row>
    <row r="65" spans="1:6" x14ac:dyDescent="0.25">
      <c r="A65">
        <v>4</v>
      </c>
      <c r="B65" t="str">
        <v>ESTACION PUENTE VIA EL TRANVIA</v>
      </c>
      <c r="C65">
        <v>0.8</v>
      </c>
      <c r="D65">
        <v>2024</v>
      </c>
      <c r="E65" s="61">
        <v>2024</v>
      </c>
      <c r="F65" s="61">
        <v>0.8</v>
      </c>
    </row>
    <row r="66" spans="1:6" x14ac:dyDescent="0.25">
      <c r="A66">
        <v>4</v>
      </c>
      <c r="B66" t="str">
        <v>ESTACION PUENTE VIA EL TRANVIA</v>
      </c>
      <c r="C66">
        <v>0.12</v>
      </c>
      <c r="D66">
        <v>2024</v>
      </c>
      <c r="E66" s="61">
        <v>2024</v>
      </c>
      <c r="F66" s="61">
        <v>0.12</v>
      </c>
    </row>
    <row r="67" spans="1:6" x14ac:dyDescent="0.25">
      <c r="A67">
        <v>4</v>
      </c>
      <c r="B67" t="str">
        <v>ESTACION PUENTE VIA EL TRANVIA</v>
      </c>
      <c r="C67">
        <v>0.24</v>
      </c>
      <c r="D67">
        <v>2024</v>
      </c>
      <c r="E67" s="61">
        <v>2024</v>
      </c>
      <c r="F67" s="61">
        <v>0.24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3B5A4-3DA3-4466-A35A-1DA467A3D4A9}">
  <sheetPr>
    <tabColor theme="4"/>
  </sheetPr>
  <dimension ref="A2:Y161"/>
  <sheetViews>
    <sheetView zoomScale="80" zoomScaleNormal="80" workbookViewId="0">
      <selection activeCell="V21" sqref="V21:Y28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65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λ=436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LA AMISTAD</v>
      </c>
      <c r="C4" cm="1">
        <f t="array" ref="C4:C67">_xlfn._xlws.FILTER(CHOOSE(3,'Resultados historicos'!C:C,'Resultados historicos'!D:D,'Resultados historicos'!O:O,'Resultados historicos'!A:A),'Resultados historicos'!H:H=A2)</f>
        <v>0.6</v>
      </c>
      <c r="D4" cm="1">
        <f t="array" ref="D4:D67">_xlfn._xlws.FILTER(CHOOSE(4,'Resultados historicos'!C:C,'Resultados historicos'!D:D,'Resultados historicos'!O:O,'Resultados historicos'!A:A),'Resultados historicos'!H:H=A2)</f>
        <v>2021</v>
      </c>
      <c r="E4" s="61">
        <v>2019</v>
      </c>
      <c r="F4" s="61">
        <v>0.6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LA AMISTAD</v>
      </c>
      <c r="C5">
        <v>0.6</v>
      </c>
      <c r="D5">
        <v>2019</v>
      </c>
      <c r="E5" s="61">
        <v>2019</v>
      </c>
      <c r="F5" s="61">
        <v>2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LA AMISTAD</v>
      </c>
      <c r="C6">
        <v>0.4</v>
      </c>
      <c r="D6">
        <v>2020</v>
      </c>
      <c r="E6" s="61">
        <v>2019</v>
      </c>
      <c r="F6" s="61">
        <v>1.8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LA AMISTAD</v>
      </c>
      <c r="C7">
        <v>0.6</v>
      </c>
      <c r="D7">
        <v>2020</v>
      </c>
      <c r="E7" s="61">
        <v>2019</v>
      </c>
      <c r="F7" s="61">
        <v>0.8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LA AMISTAD</v>
      </c>
      <c r="C8">
        <v>0.5</v>
      </c>
      <c r="D8">
        <v>2020</v>
      </c>
      <c r="E8" s="61">
        <v>2020</v>
      </c>
      <c r="F8" s="61">
        <v>0.4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LA AMISTAD</v>
      </c>
      <c r="C9">
        <v>0.48</v>
      </c>
      <c r="D9">
        <v>2021</v>
      </c>
      <c r="E9" s="61">
        <v>2020</v>
      </c>
      <c r="F9" s="61">
        <v>0.6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LA AMISTAD</v>
      </c>
      <c r="C10">
        <v>0.94</v>
      </c>
      <c r="D10">
        <v>2021</v>
      </c>
      <c r="E10" s="61">
        <v>2020</v>
      </c>
      <c r="F10" s="61">
        <v>0.5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LA AMISTAD</v>
      </c>
      <c r="C11">
        <v>0.98</v>
      </c>
      <c r="D11">
        <v>2022</v>
      </c>
      <c r="E11" s="61">
        <v>2020</v>
      </c>
      <c r="F11" s="61">
        <v>0.9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LA AMISTAD</v>
      </c>
      <c r="C12">
        <v>0.34</v>
      </c>
      <c r="D12">
        <v>2022</v>
      </c>
      <c r="E12" s="61">
        <v>2020</v>
      </c>
      <c r="F12" s="61">
        <v>0.7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LA AMISTAD</v>
      </c>
      <c r="C13">
        <v>0.38</v>
      </c>
      <c r="D13">
        <v>2022</v>
      </c>
      <c r="E13" s="61">
        <v>2020</v>
      </c>
      <c r="F13" s="61">
        <v>0.7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LA AMISTAD</v>
      </c>
      <c r="C14">
        <v>0.68</v>
      </c>
      <c r="D14">
        <v>2023</v>
      </c>
      <c r="E14" s="61">
        <v>2020</v>
      </c>
      <c r="F14" s="61">
        <v>0.7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LA AMISTAD</v>
      </c>
      <c r="C15">
        <v>0.52</v>
      </c>
      <c r="D15">
        <v>2023</v>
      </c>
      <c r="E15" s="61">
        <v>2020</v>
      </c>
      <c r="F15" s="61">
        <v>0.7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LA AMISTAD</v>
      </c>
      <c r="C16">
        <v>0.34</v>
      </c>
      <c r="D16">
        <v>2023</v>
      </c>
      <c r="E16" s="61">
        <v>2020</v>
      </c>
      <c r="F16" s="61">
        <v>0.6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LA AMISTAD</v>
      </c>
      <c r="C17">
        <v>0.5</v>
      </c>
      <c r="D17">
        <v>2024</v>
      </c>
      <c r="E17" s="61">
        <v>2020</v>
      </c>
      <c r="F17" s="61">
        <v>0.9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LA AMISTAD</v>
      </c>
      <c r="C18">
        <v>0.46</v>
      </c>
      <c r="D18">
        <v>2024</v>
      </c>
      <c r="E18" s="61">
        <v>2020</v>
      </c>
      <c r="F18" s="61">
        <v>0.7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LA AMISTAD</v>
      </c>
      <c r="C19">
        <v>1.1000000000000001</v>
      </c>
      <c r="D19">
        <v>2024</v>
      </c>
      <c r="E19" s="61">
        <v>2020</v>
      </c>
      <c r="F19" s="61">
        <v>0.8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EL CHAGUALO</v>
      </c>
      <c r="C20">
        <v>0.9</v>
      </c>
      <c r="D20">
        <v>2020</v>
      </c>
      <c r="E20" s="61">
        <v>2021</v>
      </c>
      <c r="F20" s="61">
        <v>0.6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EL CHAGUALO</v>
      </c>
      <c r="C21">
        <v>0.7</v>
      </c>
      <c r="D21">
        <v>2020</v>
      </c>
      <c r="E21" s="61">
        <v>2021</v>
      </c>
      <c r="F21" s="61">
        <v>0.48</v>
      </c>
      <c r="H21" s="131"/>
      <c r="I21" s="131"/>
      <c r="J21" s="131"/>
      <c r="K21" s="131"/>
      <c r="L21" s="131"/>
      <c r="M21" s="131"/>
      <c r="N21" s="131"/>
      <c r="O21" s="133" t="str">
        <f>H30</f>
        <v>λ=436 (m⁻¹)</v>
      </c>
      <c r="P21" s="133"/>
      <c r="Q21" s="133"/>
      <c r="R21" s="133"/>
      <c r="S21" s="133"/>
      <c r="T21" s="133"/>
      <c r="W21" s="134" t="str">
        <f>O21</f>
        <v>λ=436 (m⁻¹)</v>
      </c>
      <c r="X21" s="134"/>
      <c r="Y21" s="134"/>
    </row>
    <row r="22" spans="1:25" x14ac:dyDescent="0.25">
      <c r="A22">
        <v>2</v>
      </c>
      <c r="B22" t="str">
        <v>ESTACION EL CHAGUALO</v>
      </c>
      <c r="C22">
        <v>0.8</v>
      </c>
      <c r="D22">
        <v>2021</v>
      </c>
      <c r="E22" s="61">
        <v>2021</v>
      </c>
      <c r="F22" s="61">
        <v>0.94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EL CHAGUALO</v>
      </c>
      <c r="C23">
        <v>2</v>
      </c>
      <c r="D23">
        <v>2019</v>
      </c>
      <c r="E23" s="61">
        <v>2021</v>
      </c>
      <c r="F23" s="61">
        <v>0.8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0.6</v>
      </c>
      <c r="R23" s="10">
        <f t="shared" ref="R23:R28" si="2">SUMIFS(_xlfn.ANCHORARRAY($C$4),_xlfn.ANCHORARRAY($D$4),O23)/P23</f>
        <v>1.3</v>
      </c>
      <c r="S23" s="10">
        <f t="shared" ref="S23:S28" si="3">_xlfn.MAXIFS(_xlfn.ANCHORARRAY($C$4),_xlfn.ANCHORARRAY($D$4),O23)</f>
        <v>2</v>
      </c>
      <c r="T23" s="10" cm="1">
        <f t="array" ref="T23">_xlfn.STDEV.S(_xlfn._xlws.FILTER(_xlfn.ANCHORARRAY($C$4),_xlfn.ANCHORARRAY($D$4)=O23))</f>
        <v>0.70237691685684911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EL CHAGUALO</v>
      </c>
      <c r="C24">
        <v>0.7</v>
      </c>
      <c r="D24">
        <v>2020</v>
      </c>
      <c r="E24" s="61">
        <v>2021</v>
      </c>
      <c r="F24" s="61">
        <v>0.64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0.4</v>
      </c>
      <c r="R24" s="10">
        <f t="shared" si="2"/>
        <v>0.68333333333333346</v>
      </c>
      <c r="S24" s="10">
        <f t="shared" si="3"/>
        <v>0.9</v>
      </c>
      <c r="T24" s="10" cm="1">
        <f t="array" ref="T24">_xlfn.STDEV.S(_xlfn._xlws.FILTER(_xlfn.ANCHORARRAY($C$4),_xlfn.ANCHORARRAY($D$4)=O24))</f>
        <v>0.1466804401246169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EL CHAGUALO</v>
      </c>
      <c r="C25">
        <v>0.64</v>
      </c>
      <c r="D25">
        <v>2021</v>
      </c>
      <c r="E25" s="61">
        <v>2021</v>
      </c>
      <c r="F25" s="61">
        <v>1.3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0.48</v>
      </c>
      <c r="R25" s="10">
        <f t="shared" si="2"/>
        <v>0.90833333333333333</v>
      </c>
      <c r="S25" s="10">
        <f t="shared" si="3"/>
        <v>1.56</v>
      </c>
      <c r="T25" s="10" cm="1">
        <f t="array" ref="T25">_xlfn.STDEV.S(_xlfn._xlws.FILTER(_xlfn.ANCHORARRAY($C$4),_xlfn.ANCHORARRAY($D$4)=O25))</f>
        <v>0.36565839332095318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EL CHAGUALO</v>
      </c>
      <c r="C26">
        <v>1.3</v>
      </c>
      <c r="D26">
        <v>2021</v>
      </c>
      <c r="E26" s="61">
        <v>2021</v>
      </c>
      <c r="F26" s="61">
        <v>0.6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0.26</v>
      </c>
      <c r="R26" s="10">
        <f t="shared" si="2"/>
        <v>0.75666666666666671</v>
      </c>
      <c r="S26" s="10">
        <f t="shared" si="3"/>
        <v>3.32</v>
      </c>
      <c r="T26" s="10" cm="1">
        <f t="array" ref="T26">_xlfn.STDEV.S(_xlfn._xlws.FILTER(_xlfn.ANCHORARRAY($C$4),_xlfn.ANCHORARRAY($D$4)=O26))</f>
        <v>0.84628958436581303</v>
      </c>
      <c r="V26" t="s">
        <v>565</v>
      </c>
      <c r="W26" s="1" t="str">
        <f>TEXT(R29,"0,00")&amp;" ± "&amp;TEXT((W25*T29/SQRT(P29)),"0,00")</f>
        <v>0,84 ± 0,11</v>
      </c>
      <c r="X26" s="1" t="str">
        <f>TEXT(R29,"0,00")&amp;" ± "&amp;TEXT((X25*T29/SQRT(P29)),"0,00")</f>
        <v>0,84 ± 0,14</v>
      </c>
      <c r="Y26" s="1" t="str">
        <f>TEXT(R29,"0,00")&amp;" ± "&amp;TEXT((Y25*T29/SQRT(P29)),"0,00")</f>
        <v>0,84 ± 0,18</v>
      </c>
    </row>
    <row r="27" spans="1:25" x14ac:dyDescent="0.25">
      <c r="A27">
        <v>2</v>
      </c>
      <c r="B27" t="str">
        <v>ESTACION EL CHAGUALO</v>
      </c>
      <c r="C27">
        <v>0.76</v>
      </c>
      <c r="D27">
        <v>2022</v>
      </c>
      <c r="E27" s="61">
        <v>2021</v>
      </c>
      <c r="F27" s="61">
        <v>0.62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0.24</v>
      </c>
      <c r="R27" s="10">
        <f t="shared" si="2"/>
        <v>0.53666666666666674</v>
      </c>
      <c r="S27" s="10">
        <f t="shared" si="3"/>
        <v>0.86</v>
      </c>
      <c r="T27" s="10" cm="1">
        <f t="array" ref="T27">_xlfn.STDEV.S(_xlfn._xlws.FILTER(_xlfn.ANCHORARRAY($C$4),_xlfn.ANCHORARRAY($D$4)=O27))</f>
        <v>0.20015145780284971</v>
      </c>
      <c r="V27" t="s">
        <v>566</v>
      </c>
      <c r="W27" s="10">
        <f>R29-(W25*T29/SQRT(P29))</f>
        <v>0.72868925838619458</v>
      </c>
      <c r="X27" s="10">
        <f>R29-(X25*T29/SQRT(P29))</f>
        <v>0.7068262701635013</v>
      </c>
      <c r="Y27" s="10">
        <f>R29-(Y25*T29/SQRT(P29))</f>
        <v>0.66409629987850183</v>
      </c>
    </row>
    <row r="28" spans="1:25" x14ac:dyDescent="0.25">
      <c r="A28">
        <v>2</v>
      </c>
      <c r="B28" t="str">
        <v>ESTACION EL CHAGUALO</v>
      </c>
      <c r="C28">
        <v>0.4</v>
      </c>
      <c r="D28">
        <v>2022</v>
      </c>
      <c r="E28" s="61">
        <v>2021</v>
      </c>
      <c r="F28" s="61">
        <v>0.94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0.46</v>
      </c>
      <c r="R28" s="10">
        <f t="shared" si="2"/>
        <v>1.1766666666666665</v>
      </c>
      <c r="S28" s="10">
        <f t="shared" si="3"/>
        <v>2.2400000000000002</v>
      </c>
      <c r="T28" s="10" cm="1">
        <f t="array" ref="T28">_xlfn.STDEV.S(_xlfn._xlws.FILTER(_xlfn.ANCHORARRAY($C$4),_xlfn.ANCHORARRAY($D$4)=O28))</f>
        <v>0.61489590151258133</v>
      </c>
      <c r="V28" t="s">
        <v>567</v>
      </c>
      <c r="W28" s="10">
        <f>R29+(W25*T29/SQRT(P29))</f>
        <v>0.95693574161380557</v>
      </c>
      <c r="X28" s="10">
        <f>R29+(X25*T29/SQRT(P29))</f>
        <v>0.97879872983649885</v>
      </c>
      <c r="Y28" s="10">
        <f>R29+(Y25*T29/SQRT(P29))</f>
        <v>1.0215287001214983</v>
      </c>
    </row>
    <row r="29" spans="1:25" x14ac:dyDescent="0.25">
      <c r="A29">
        <v>2</v>
      </c>
      <c r="B29" t="str">
        <v>ESTACION EL CHAGUALO</v>
      </c>
      <c r="C29">
        <v>0.4</v>
      </c>
      <c r="D29">
        <v>2022</v>
      </c>
      <c r="E29" s="61">
        <v>2021</v>
      </c>
      <c r="F29" s="61">
        <v>1.5</v>
      </c>
      <c r="O29" t="s">
        <v>568</v>
      </c>
      <c r="P29" s="1">
        <f>SUM(P23:P28)</f>
        <v>64</v>
      </c>
      <c r="R29" s="10">
        <f>AVERAGE(_xlfn.ANCHORARRAY(C4))</f>
        <v>0.84281250000000008</v>
      </c>
      <c r="T29" s="10">
        <f>_xlfn.STDEV.S(_xlfn.ANCHORARRAY(C4))</f>
        <v>0.55505603535224468</v>
      </c>
    </row>
    <row r="30" spans="1:25" x14ac:dyDescent="0.25">
      <c r="A30">
        <v>2</v>
      </c>
      <c r="B30" t="str">
        <v>ESTACION EL CHAGUALO</v>
      </c>
      <c r="C30">
        <v>0.86</v>
      </c>
      <c r="D30">
        <v>2023</v>
      </c>
      <c r="E30" s="61">
        <v>2021</v>
      </c>
      <c r="F30" s="61">
        <v>0.92</v>
      </c>
      <c r="H30" s="133" t="str">
        <f>'Estadistico resumen'!$G$1</f>
        <v>λ=436 (m⁻¹)</v>
      </c>
      <c r="I30" s="133"/>
      <c r="J30" s="133"/>
      <c r="K30" s="133"/>
      <c r="L30" s="133"/>
      <c r="M30" s="133"/>
      <c r="N30" s="133"/>
    </row>
    <row r="31" spans="1:25" x14ac:dyDescent="0.25">
      <c r="A31">
        <v>2</v>
      </c>
      <c r="B31" t="str">
        <v>ESTACION EL CHAGUALO</v>
      </c>
      <c r="C31">
        <v>0.48</v>
      </c>
      <c r="D31">
        <v>2023</v>
      </c>
      <c r="E31" s="61">
        <v>2021</v>
      </c>
      <c r="F31" s="61">
        <v>1.56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EL CHAGUALO</v>
      </c>
      <c r="C32">
        <v>0.4</v>
      </c>
      <c r="D32">
        <v>2023</v>
      </c>
      <c r="E32" s="61">
        <v>2022</v>
      </c>
      <c r="F32" s="61">
        <v>0.98</v>
      </c>
      <c r="H32" s="1" cm="1">
        <f t="array" ref="H32:H35">_xlfn._xlws.SORT(_xlfn.UNIQUE(_xlfn.ANCHORARRAY(A4)))</f>
        <v>1</v>
      </c>
      <c r="I32" t="str">
        <f>IFERROR(VLOOKUP(H32,$A$4:$B$161,2),"")</f>
        <v>ESTACION LA AMISTAD</v>
      </c>
      <c r="J32" s="46">
        <f>COUNTIF(_xlfn.ANCHORARRAY($B$4),I32)</f>
        <v>16</v>
      </c>
      <c r="K32" s="10">
        <f>_xlfn.MINIFS(_xlfn.ANCHORARRAY($C$4),_xlfn.ANCHORARRAY($B$4),I32)</f>
        <v>0.34</v>
      </c>
      <c r="L32" s="10">
        <f>SUMIFS(_xlfn.ANCHORARRAY($C$4),_xlfn.ANCHORARRAY($B$4),I32)/J32</f>
        <v>0.58875</v>
      </c>
      <c r="M32" s="10">
        <f>_xlfn.MAXIFS(_xlfn.ANCHORARRAY($C$4),_xlfn.ANCHORARRAY($B$4),I32)</f>
        <v>1.1000000000000001</v>
      </c>
      <c r="N32" s="10" cm="1">
        <f t="array" ref="N32">_xlfn.STDEV.S(_xlfn._xlws.FILTER(_xlfn.ANCHORARRAY($C$4),_xlfn.ANCHORARRAY($B$4)=I32))</f>
        <v>0.23070543990118655</v>
      </c>
    </row>
    <row r="33" spans="1:14" x14ac:dyDescent="0.25">
      <c r="A33">
        <v>2</v>
      </c>
      <c r="B33" t="str">
        <v>ESTACION EL CHAGUALO</v>
      </c>
      <c r="C33">
        <v>0.84</v>
      </c>
      <c r="D33">
        <v>2024</v>
      </c>
      <c r="E33" s="61">
        <v>2022</v>
      </c>
      <c r="F33" s="61">
        <v>0.34</v>
      </c>
      <c r="H33" s="1">
        <v>2</v>
      </c>
      <c r="I33" t="str">
        <f t="shared" ref="I33:I35" si="4">VLOOKUP(H33,$A$4:$B$161,2)</f>
        <v>ESTACION EL CHAGUALO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0.4</v>
      </c>
      <c r="L33" s="10">
        <f t="shared" ref="L33:L35" si="7">SUMIFS(_xlfn.ANCHORARRAY($C$4),_xlfn.ANCHORARRAY($B$4),I33)/J33</f>
        <v>0.85499999999999998</v>
      </c>
      <c r="M33" s="10">
        <f t="shared" ref="M33:M35" si="8">_xlfn.MAXIFS(_xlfn.ANCHORARRAY($C$4),_xlfn.ANCHORARRAY($B$4),I33)</f>
        <v>2</v>
      </c>
      <c r="N33" s="10" cm="1">
        <f t="array" ref="N33">_xlfn.STDEV.S(_xlfn._xlws.FILTER(_xlfn.ANCHORARRAY($C$4),_xlfn.ANCHORARRAY($B$4)=I33))</f>
        <v>0.46271661593967717</v>
      </c>
    </row>
    <row r="34" spans="1:14" x14ac:dyDescent="0.25">
      <c r="A34">
        <v>2</v>
      </c>
      <c r="B34" t="str">
        <v>ESTACION EL CHAGUALO</v>
      </c>
      <c r="C34">
        <v>0.74</v>
      </c>
      <c r="D34">
        <v>2024</v>
      </c>
      <c r="E34" s="61">
        <v>2022</v>
      </c>
      <c r="F34" s="61">
        <v>0.38</v>
      </c>
      <c r="H34" s="1">
        <v>3</v>
      </c>
      <c r="I34" t="str">
        <f t="shared" si="4"/>
        <v>ESTACION PUENTE LA FERIA</v>
      </c>
      <c r="J34" s="46">
        <f t="shared" si="5"/>
        <v>16</v>
      </c>
      <c r="K34" s="10">
        <f t="shared" si="6"/>
        <v>0.26</v>
      </c>
      <c r="L34" s="10">
        <f t="shared" si="7"/>
        <v>0.79125000000000001</v>
      </c>
      <c r="M34" s="10">
        <f t="shared" si="8"/>
        <v>1.88</v>
      </c>
      <c r="N34" s="10" cm="1">
        <f t="array" ref="N34">_xlfn.STDEV.S(_xlfn._xlws.FILTER(_xlfn.ANCHORARRAY($C$4),_xlfn.ANCHORARRAY($B$4)=I34))</f>
        <v>0.45746948896438244</v>
      </c>
    </row>
    <row r="35" spans="1:14" x14ac:dyDescent="0.25">
      <c r="A35">
        <v>2</v>
      </c>
      <c r="B35" t="str">
        <v>ESTACION EL CHAGUALO</v>
      </c>
      <c r="C35">
        <v>1.76</v>
      </c>
      <c r="D35">
        <v>2024</v>
      </c>
      <c r="E35" s="61">
        <v>2022</v>
      </c>
      <c r="F35" s="61">
        <v>0.76</v>
      </c>
      <c r="H35" s="1">
        <v>4</v>
      </c>
      <c r="I35" t="str">
        <f t="shared" si="4"/>
        <v>ESTACION ALCARAVANES</v>
      </c>
      <c r="J35" s="46">
        <f t="shared" si="5"/>
        <v>16</v>
      </c>
      <c r="K35" s="10">
        <f t="shared" si="6"/>
        <v>0.24</v>
      </c>
      <c r="L35" s="10">
        <f t="shared" si="7"/>
        <v>1.13625</v>
      </c>
      <c r="M35" s="10">
        <f t="shared" si="8"/>
        <v>3.32</v>
      </c>
      <c r="N35" s="10" cm="1">
        <f t="array" ref="N35">_xlfn.STDEV.S(_xlfn._xlws.FILTER(_xlfn.ANCHORARRAY($C$4),_xlfn.ANCHORARRAY($B$4)=I35))</f>
        <v>0.8084955163759413</v>
      </c>
    </row>
    <row r="36" spans="1:14" x14ac:dyDescent="0.25">
      <c r="A36">
        <v>3</v>
      </c>
      <c r="B36" t="str">
        <v>ESTACION PUENTE LA FERIA</v>
      </c>
      <c r="C36">
        <v>0.6</v>
      </c>
      <c r="D36">
        <v>2021</v>
      </c>
      <c r="E36" s="61">
        <v>2022</v>
      </c>
      <c r="F36" s="61">
        <v>0.4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PUENTE LA FERIA</v>
      </c>
      <c r="C37">
        <v>1.8</v>
      </c>
      <c r="D37">
        <v>2019</v>
      </c>
      <c r="E37" s="61">
        <v>2022</v>
      </c>
      <c r="F37" s="61">
        <v>0.4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PUENTE LA FERIA</v>
      </c>
      <c r="C38">
        <v>0.7</v>
      </c>
      <c r="D38">
        <v>2020</v>
      </c>
      <c r="E38" s="61">
        <v>2022</v>
      </c>
      <c r="F38" s="61">
        <v>0.98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PUENTE LA FERIA</v>
      </c>
      <c r="C39">
        <v>0.7</v>
      </c>
      <c r="D39">
        <v>2020</v>
      </c>
      <c r="E39" s="61">
        <v>2022</v>
      </c>
      <c r="F39" s="61">
        <v>0.42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PUENTE LA FERIA</v>
      </c>
      <c r="C40">
        <v>0.6</v>
      </c>
      <c r="D40">
        <v>2020</v>
      </c>
      <c r="E40" s="61">
        <v>2022</v>
      </c>
      <c r="F40" s="61">
        <v>0.26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PUENTE LA FERIA</v>
      </c>
      <c r="C41">
        <v>0.62</v>
      </c>
      <c r="D41">
        <v>2021</v>
      </c>
      <c r="E41" s="61">
        <v>2022</v>
      </c>
      <c r="F41" s="61">
        <v>3.32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PUENTE LA FERIA</v>
      </c>
      <c r="C42">
        <v>0.94</v>
      </c>
      <c r="D42">
        <v>2021</v>
      </c>
      <c r="E42" s="61">
        <v>2022</v>
      </c>
      <c r="F42" s="61">
        <v>0.57999999999999996</v>
      </c>
    </row>
    <row r="43" spans="1:14" x14ac:dyDescent="0.25">
      <c r="A43">
        <v>3</v>
      </c>
      <c r="B43" t="str">
        <v>ESTACION PUENTE LA FERIA</v>
      </c>
      <c r="C43">
        <v>0.98</v>
      </c>
      <c r="D43">
        <v>2022</v>
      </c>
      <c r="E43" s="61">
        <v>2022</v>
      </c>
      <c r="F43" s="61">
        <v>0.26</v>
      </c>
    </row>
    <row r="44" spans="1:14" x14ac:dyDescent="0.25">
      <c r="A44">
        <v>3</v>
      </c>
      <c r="B44" t="str">
        <v>ESTACION PUENTE LA FERIA</v>
      </c>
      <c r="C44">
        <v>0.42</v>
      </c>
      <c r="D44">
        <v>2022</v>
      </c>
      <c r="E44" s="61">
        <v>2023</v>
      </c>
      <c r="F44" s="61">
        <v>0.68</v>
      </c>
    </row>
    <row r="45" spans="1:14" x14ac:dyDescent="0.25">
      <c r="A45">
        <v>3</v>
      </c>
      <c r="B45" t="str">
        <v>ESTACION PUENTE LA FERIA</v>
      </c>
      <c r="C45">
        <v>0.26</v>
      </c>
      <c r="D45">
        <v>2022</v>
      </c>
      <c r="E45" s="61">
        <v>2023</v>
      </c>
      <c r="F45" s="61">
        <v>0.52</v>
      </c>
    </row>
    <row r="46" spans="1:14" x14ac:dyDescent="0.25">
      <c r="A46">
        <v>3</v>
      </c>
      <c r="B46" t="str">
        <v>ESTACION PUENTE LA FERIA</v>
      </c>
      <c r="C46">
        <v>0.74</v>
      </c>
      <c r="D46">
        <v>2023</v>
      </c>
      <c r="E46" s="61">
        <v>2023</v>
      </c>
      <c r="F46" s="61">
        <v>0.34</v>
      </c>
    </row>
    <row r="47" spans="1:14" x14ac:dyDescent="0.25">
      <c r="A47">
        <v>3</v>
      </c>
      <c r="B47" t="str">
        <v>ESTACION PUENTE LA FERIA</v>
      </c>
      <c r="C47">
        <v>0.4</v>
      </c>
      <c r="D47">
        <v>2023</v>
      </c>
      <c r="E47" s="61">
        <v>2023</v>
      </c>
      <c r="F47" s="61">
        <v>0.86</v>
      </c>
    </row>
    <row r="48" spans="1:14" x14ac:dyDescent="0.25">
      <c r="A48">
        <v>3</v>
      </c>
      <c r="B48" t="str">
        <v>ESTACION PUENTE LA FERIA</v>
      </c>
      <c r="C48">
        <v>0.38</v>
      </c>
      <c r="D48">
        <v>2023</v>
      </c>
      <c r="E48" s="61">
        <v>2023</v>
      </c>
      <c r="F48" s="61">
        <v>0.48</v>
      </c>
    </row>
    <row r="49" spans="1:6" x14ac:dyDescent="0.25">
      <c r="A49">
        <v>3</v>
      </c>
      <c r="B49" t="str">
        <v>ESTACION PUENTE LA FERIA</v>
      </c>
      <c r="C49">
        <v>0.74</v>
      </c>
      <c r="D49">
        <v>2024</v>
      </c>
      <c r="E49" s="61">
        <v>2023</v>
      </c>
      <c r="F49" s="61">
        <v>0.4</v>
      </c>
    </row>
    <row r="50" spans="1:6" x14ac:dyDescent="0.25">
      <c r="A50">
        <v>3</v>
      </c>
      <c r="B50" t="str">
        <v>ESTACION PUENTE LA FERIA</v>
      </c>
      <c r="C50">
        <v>0.9</v>
      </c>
      <c r="D50">
        <v>2024</v>
      </c>
      <c r="E50" s="61">
        <v>2023</v>
      </c>
      <c r="F50" s="61">
        <v>0.74</v>
      </c>
    </row>
    <row r="51" spans="1:6" x14ac:dyDescent="0.25">
      <c r="A51">
        <v>3</v>
      </c>
      <c r="B51" t="str">
        <v>ESTACION PUENTE LA FERIA</v>
      </c>
      <c r="C51">
        <v>1.88</v>
      </c>
      <c r="D51">
        <v>2024</v>
      </c>
      <c r="E51" s="61">
        <v>2023</v>
      </c>
      <c r="F51" s="61">
        <v>0.4</v>
      </c>
    </row>
    <row r="52" spans="1:6" x14ac:dyDescent="0.25">
      <c r="A52">
        <v>4</v>
      </c>
      <c r="B52" t="str">
        <v>ESTACION ALCARAVANES</v>
      </c>
      <c r="C52">
        <v>1.5</v>
      </c>
      <c r="D52">
        <v>2021</v>
      </c>
      <c r="E52" s="61">
        <v>2023</v>
      </c>
      <c r="F52" s="61">
        <v>0.38</v>
      </c>
    </row>
    <row r="53" spans="1:6" x14ac:dyDescent="0.25">
      <c r="A53">
        <v>4</v>
      </c>
      <c r="B53" t="str">
        <v>ESTACION ALCARAVANES</v>
      </c>
      <c r="C53">
        <v>0.8</v>
      </c>
      <c r="D53">
        <v>2019</v>
      </c>
      <c r="E53" s="61">
        <v>2023</v>
      </c>
      <c r="F53" s="61">
        <v>0.82</v>
      </c>
    </row>
    <row r="54" spans="1:6" x14ac:dyDescent="0.25">
      <c r="A54">
        <v>4</v>
      </c>
      <c r="B54" t="str">
        <v>ESTACION ALCARAVANES</v>
      </c>
      <c r="C54">
        <v>0.9</v>
      </c>
      <c r="D54">
        <v>2020</v>
      </c>
      <c r="E54" s="61">
        <v>2023</v>
      </c>
      <c r="F54" s="61">
        <v>0.57999999999999996</v>
      </c>
    </row>
    <row r="55" spans="1:6" x14ac:dyDescent="0.25">
      <c r="A55">
        <v>4</v>
      </c>
      <c r="B55" t="str">
        <v>ESTACION ALCARAVANES</v>
      </c>
      <c r="C55">
        <v>0.7</v>
      </c>
      <c r="D55">
        <v>2020</v>
      </c>
      <c r="E55" s="61">
        <v>2023</v>
      </c>
      <c r="F55" s="61">
        <v>0.24</v>
      </c>
    </row>
    <row r="56" spans="1:6" x14ac:dyDescent="0.25">
      <c r="A56">
        <v>4</v>
      </c>
      <c r="B56" t="str">
        <v>ESTACION ALCARAVANES</v>
      </c>
      <c r="C56">
        <v>0.8</v>
      </c>
      <c r="D56">
        <v>2020</v>
      </c>
      <c r="E56" s="61">
        <v>2024</v>
      </c>
      <c r="F56" s="61">
        <v>0.5</v>
      </c>
    </row>
    <row r="57" spans="1:6" x14ac:dyDescent="0.25">
      <c r="A57">
        <v>4</v>
      </c>
      <c r="B57" t="str">
        <v>ESTACION ALCARAVANES</v>
      </c>
      <c r="C57">
        <v>0.92</v>
      </c>
      <c r="D57">
        <v>2021</v>
      </c>
      <c r="E57" s="61">
        <v>2024</v>
      </c>
      <c r="F57" s="61">
        <v>0.46</v>
      </c>
    </row>
    <row r="58" spans="1:6" x14ac:dyDescent="0.25">
      <c r="A58">
        <v>4</v>
      </c>
      <c r="B58" t="str">
        <v>ESTACION ALCARAVANES</v>
      </c>
      <c r="C58">
        <v>1.56</v>
      </c>
      <c r="D58">
        <v>2021</v>
      </c>
      <c r="E58" s="61">
        <v>2024</v>
      </c>
      <c r="F58" s="61">
        <v>1.1000000000000001</v>
      </c>
    </row>
    <row r="59" spans="1:6" x14ac:dyDescent="0.25">
      <c r="A59">
        <v>4</v>
      </c>
      <c r="B59" t="str">
        <v>ESTACION ALCARAVANES</v>
      </c>
      <c r="C59">
        <v>3.32</v>
      </c>
      <c r="D59">
        <v>2022</v>
      </c>
      <c r="E59" s="61">
        <v>2024</v>
      </c>
      <c r="F59" s="61">
        <v>0.84</v>
      </c>
    </row>
    <row r="60" spans="1:6" x14ac:dyDescent="0.25">
      <c r="A60">
        <v>4</v>
      </c>
      <c r="B60" t="str">
        <v>ESTACION ALCARAVANES</v>
      </c>
      <c r="C60">
        <v>0.57999999999999996</v>
      </c>
      <c r="D60">
        <v>2022</v>
      </c>
      <c r="E60" s="61">
        <v>2024</v>
      </c>
      <c r="F60" s="61">
        <v>0.74</v>
      </c>
    </row>
    <row r="61" spans="1:6" x14ac:dyDescent="0.25">
      <c r="A61">
        <v>4</v>
      </c>
      <c r="B61" t="str">
        <v>ESTACION ALCARAVANES</v>
      </c>
      <c r="C61">
        <v>0.26</v>
      </c>
      <c r="D61">
        <v>2022</v>
      </c>
      <c r="E61" s="61">
        <v>2024</v>
      </c>
      <c r="F61" s="61">
        <v>1.76</v>
      </c>
    </row>
    <row r="62" spans="1:6" x14ac:dyDescent="0.25">
      <c r="A62">
        <v>4</v>
      </c>
      <c r="B62" t="str">
        <v>ESTACION ALCARAVANES</v>
      </c>
      <c r="C62">
        <v>0.82</v>
      </c>
      <c r="D62">
        <v>2023</v>
      </c>
      <c r="E62" s="61">
        <v>2024</v>
      </c>
      <c r="F62" s="61">
        <v>0.74</v>
      </c>
    </row>
    <row r="63" spans="1:6" x14ac:dyDescent="0.25">
      <c r="A63">
        <v>4</v>
      </c>
      <c r="B63" t="str">
        <v>ESTACION ALCARAVANES</v>
      </c>
      <c r="C63">
        <v>0.57999999999999996</v>
      </c>
      <c r="D63">
        <v>2023</v>
      </c>
      <c r="E63" s="61">
        <v>2024</v>
      </c>
      <c r="F63" s="61">
        <v>0.9</v>
      </c>
    </row>
    <row r="64" spans="1:6" x14ac:dyDescent="0.25">
      <c r="A64">
        <v>4</v>
      </c>
      <c r="B64" t="str">
        <v>ESTACION ALCARAVANES</v>
      </c>
      <c r="C64">
        <v>0.24</v>
      </c>
      <c r="D64">
        <v>2023</v>
      </c>
      <c r="E64" s="61">
        <v>2024</v>
      </c>
      <c r="F64" s="61">
        <v>1.88</v>
      </c>
    </row>
    <row r="65" spans="1:6" x14ac:dyDescent="0.25">
      <c r="A65">
        <v>4</v>
      </c>
      <c r="B65" t="str">
        <v>ESTACION ALCARAVANES</v>
      </c>
      <c r="C65">
        <v>1.96</v>
      </c>
      <c r="D65">
        <v>2024</v>
      </c>
      <c r="E65" s="61">
        <v>2024</v>
      </c>
      <c r="F65" s="61">
        <v>1.96</v>
      </c>
    </row>
    <row r="66" spans="1:6" x14ac:dyDescent="0.25">
      <c r="A66">
        <v>4</v>
      </c>
      <c r="B66" t="str">
        <v>ESTACION ALCARAVANES</v>
      </c>
      <c r="C66">
        <v>1</v>
      </c>
      <c r="D66">
        <v>2024</v>
      </c>
      <c r="E66" s="61">
        <v>2024</v>
      </c>
      <c r="F66" s="61">
        <v>1</v>
      </c>
    </row>
    <row r="67" spans="1:6" x14ac:dyDescent="0.25">
      <c r="A67">
        <v>4</v>
      </c>
      <c r="B67" t="str">
        <v>ESTACION ALCARAVANES</v>
      </c>
      <c r="C67">
        <v>2.2400000000000002</v>
      </c>
      <c r="D67">
        <v>2024</v>
      </c>
      <c r="E67" s="61">
        <v>2024</v>
      </c>
      <c r="F67" s="61">
        <v>2.2400000000000002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A77B-2543-4389-8256-9728BBA2A89E}">
  <sheetPr>
    <tabColor rgb="FFFFFF00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65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λ=525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LA AMISTAD</v>
      </c>
      <c r="C4" cm="1">
        <f t="array" ref="C4:C67">_xlfn._xlws.FILTER(CHOOSE(3,'Resultados historicos'!C:C,'Resultados historicos'!D:D,'Resultados historicos'!P:P,'Resultados historicos'!A:A),'Resultados historicos'!H:H=A2)</f>
        <v>0.2</v>
      </c>
      <c r="D4" cm="1">
        <f t="array" ref="D4:D67">_xlfn._xlws.FILTER(CHOOSE(4,'Resultados historicos'!C:C,'Resultados historicos'!D:D,'Resultados historicos'!O:O,'Resultados historicos'!A:A),'Resultados historicos'!H:H=A2)</f>
        <v>2021</v>
      </c>
      <c r="E4" s="61">
        <v>2019</v>
      </c>
      <c r="F4" s="61">
        <v>0.3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LA AMISTAD</v>
      </c>
      <c r="C5">
        <v>0.3</v>
      </c>
      <c r="D5">
        <v>2019</v>
      </c>
      <c r="E5" s="61">
        <v>2019</v>
      </c>
      <c r="F5" s="61">
        <v>0.9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LA AMISTAD</v>
      </c>
      <c r="C6">
        <v>0.2</v>
      </c>
      <c r="D6">
        <v>2020</v>
      </c>
      <c r="E6" s="61">
        <v>2019</v>
      </c>
      <c r="F6" s="61">
        <v>0.8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LA AMISTAD</v>
      </c>
      <c r="C7">
        <v>0.1</v>
      </c>
      <c r="D7">
        <v>2020</v>
      </c>
      <c r="E7" s="61">
        <v>2019</v>
      </c>
      <c r="F7" s="61">
        <v>0.2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LA AMISTAD</v>
      </c>
      <c r="C8">
        <v>0.2</v>
      </c>
      <c r="D8">
        <v>2020</v>
      </c>
      <c r="E8" s="61">
        <v>2020</v>
      </c>
      <c r="F8" s="61">
        <v>0.2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LA AMISTAD</v>
      </c>
      <c r="C9">
        <v>0.18</v>
      </c>
      <c r="D9">
        <v>2021</v>
      </c>
      <c r="E9" s="61">
        <v>2020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LA AMISTAD</v>
      </c>
      <c r="C10">
        <v>0.5</v>
      </c>
      <c r="D10">
        <v>2021</v>
      </c>
      <c r="E10" s="61">
        <v>2020</v>
      </c>
      <c r="F10" s="61">
        <v>0.2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LA AMISTAD</v>
      </c>
      <c r="C11">
        <v>0.4</v>
      </c>
      <c r="D11">
        <v>2022</v>
      </c>
      <c r="E11" s="61">
        <v>2020</v>
      </c>
      <c r="F11" s="61">
        <v>0.2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LA AMISTAD</v>
      </c>
      <c r="C12">
        <v>0.1</v>
      </c>
      <c r="D12">
        <v>2022</v>
      </c>
      <c r="E12" s="61">
        <v>2020</v>
      </c>
      <c r="F12" s="61">
        <v>0.3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LA AMISTAD</v>
      </c>
      <c r="C13">
        <v>0.14000000000000001</v>
      </c>
      <c r="D13">
        <v>2022</v>
      </c>
      <c r="E13" s="61">
        <v>2020</v>
      </c>
      <c r="F13" s="61">
        <v>0.3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LA AMISTAD</v>
      </c>
      <c r="C14">
        <v>0.22</v>
      </c>
      <c r="D14">
        <v>2023</v>
      </c>
      <c r="E14" s="61">
        <v>2020</v>
      </c>
      <c r="F14" s="61">
        <v>0.3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LA AMISTAD</v>
      </c>
      <c r="C15">
        <v>0.18</v>
      </c>
      <c r="D15">
        <v>2023</v>
      </c>
      <c r="E15" s="61">
        <v>2020</v>
      </c>
      <c r="F15" s="61">
        <v>0.2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LA AMISTAD</v>
      </c>
      <c r="C16">
        <v>0.18</v>
      </c>
      <c r="D16">
        <v>2023</v>
      </c>
      <c r="E16" s="61">
        <v>2020</v>
      </c>
      <c r="F16" s="61">
        <v>0.2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LA AMISTAD</v>
      </c>
      <c r="C17">
        <v>0.22</v>
      </c>
      <c r="D17">
        <v>2024</v>
      </c>
      <c r="E17" s="61">
        <v>2020</v>
      </c>
      <c r="F17" s="61">
        <v>0.4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LA AMISTAD</v>
      </c>
      <c r="C18">
        <v>0.24</v>
      </c>
      <c r="D18">
        <v>2024</v>
      </c>
      <c r="E18" s="61">
        <v>2020</v>
      </c>
      <c r="F18" s="61">
        <v>0.2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LA AMISTAD</v>
      </c>
      <c r="C19">
        <v>0.5</v>
      </c>
      <c r="D19">
        <v>2024</v>
      </c>
      <c r="E19" s="61">
        <v>2020</v>
      </c>
      <c r="F19" s="61">
        <v>0.4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EL CHAGUALO</v>
      </c>
      <c r="C20">
        <v>0.2</v>
      </c>
      <c r="D20">
        <v>2020</v>
      </c>
      <c r="E20" s="61">
        <v>2021</v>
      </c>
      <c r="F20" s="61">
        <v>0.2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EL CHAGUALO</v>
      </c>
      <c r="C21">
        <v>0.3</v>
      </c>
      <c r="D21">
        <v>2020</v>
      </c>
      <c r="E21" s="61">
        <v>2021</v>
      </c>
      <c r="F21" s="61">
        <v>0.18</v>
      </c>
      <c r="H21" s="131"/>
      <c r="I21" s="131"/>
      <c r="J21" s="131"/>
      <c r="K21" s="131"/>
      <c r="L21" s="131"/>
      <c r="M21" s="131"/>
      <c r="N21" s="131"/>
      <c r="O21" s="135" t="str">
        <f>H30</f>
        <v>λ=525 (m⁻¹)</v>
      </c>
      <c r="P21" s="135"/>
      <c r="Q21" s="135"/>
      <c r="R21" s="135"/>
      <c r="S21" s="135"/>
      <c r="T21" s="135"/>
      <c r="W21" s="136" t="str">
        <f>O21</f>
        <v>λ=525 (m⁻¹)</v>
      </c>
      <c r="X21" s="136"/>
      <c r="Y21" s="136"/>
    </row>
    <row r="22" spans="1:25" x14ac:dyDescent="0.25">
      <c r="A22">
        <v>2</v>
      </c>
      <c r="B22" t="str">
        <v>ESTACION EL CHAGUALO</v>
      </c>
      <c r="C22">
        <v>0.4</v>
      </c>
      <c r="D22">
        <v>2021</v>
      </c>
      <c r="E22" s="61">
        <v>2021</v>
      </c>
      <c r="F22" s="61">
        <v>0.5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EL CHAGUALO</v>
      </c>
      <c r="C23">
        <v>0.9</v>
      </c>
      <c r="D23">
        <v>2019</v>
      </c>
      <c r="E23" s="61">
        <v>2021</v>
      </c>
      <c r="F23" s="61">
        <v>0.4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0.2</v>
      </c>
      <c r="R23" s="10">
        <f t="shared" ref="R23:R28" si="2">SUMIFS(_xlfn.ANCHORARRAY($C$4),_xlfn.ANCHORARRAY($D$4),O23)/P23</f>
        <v>0.55000000000000004</v>
      </c>
      <c r="S23" s="10">
        <f t="shared" ref="S23:S28" si="3">_xlfn.MAXIFS(_xlfn.ANCHORARRAY($C$4),_xlfn.ANCHORARRAY($D$4),O23)</f>
        <v>0.9</v>
      </c>
      <c r="T23" s="10" cm="1">
        <f t="array" ref="T23">_xlfn.STDEV.S(_xlfn._xlws.FILTER(_xlfn.ANCHORARRAY($C$4),_xlfn.ANCHORARRAY($D$4)=O23))</f>
        <v>0.35118845842842455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EL CHAGUALO</v>
      </c>
      <c r="C24">
        <v>0.3</v>
      </c>
      <c r="D24">
        <v>2020</v>
      </c>
      <c r="E24" s="61">
        <v>2021</v>
      </c>
      <c r="F24" s="61">
        <v>0.24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0.1</v>
      </c>
      <c r="R24" s="10">
        <f t="shared" si="2"/>
        <v>0.25</v>
      </c>
      <c r="S24" s="10">
        <f t="shared" si="3"/>
        <v>0.4</v>
      </c>
      <c r="T24" s="10" cm="1">
        <f t="array" ref="T24">_xlfn.STDEV.S(_xlfn._xlws.FILTER(_xlfn.ANCHORARRAY($C$4),_xlfn.ANCHORARRAY($D$4)=O24))</f>
        <v>9.0453403373329189E-2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EL CHAGUALO</v>
      </c>
      <c r="C25">
        <v>0.24</v>
      </c>
      <c r="D25">
        <v>2021</v>
      </c>
      <c r="E25" s="61">
        <v>2021</v>
      </c>
      <c r="F25" s="61">
        <v>0.7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0.18</v>
      </c>
      <c r="R25" s="10">
        <f t="shared" si="2"/>
        <v>0.44083333333333335</v>
      </c>
      <c r="S25" s="10">
        <f t="shared" si="3"/>
        <v>0.9</v>
      </c>
      <c r="T25" s="10" cm="1">
        <f t="array" ref="T25">_xlfn.STDEV.S(_xlfn._xlws.FILTER(_xlfn.ANCHORARRAY($C$4),_xlfn.ANCHORARRAY($D$4)=O25))</f>
        <v>0.25805067625400929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EL CHAGUALO</v>
      </c>
      <c r="C26">
        <v>0.7</v>
      </c>
      <c r="D26">
        <v>2021</v>
      </c>
      <c r="E26" s="61">
        <v>2021</v>
      </c>
      <c r="F26" s="61">
        <v>0.2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0.1</v>
      </c>
      <c r="R26" s="10">
        <f t="shared" si="2"/>
        <v>0.34333333333333332</v>
      </c>
      <c r="S26" s="10">
        <f t="shared" si="3"/>
        <v>1.82</v>
      </c>
      <c r="T26" s="10" cm="1">
        <f t="array" ref="T26">_xlfn.STDEV.S(_xlfn._xlws.FILTER(_xlfn.ANCHORARRAY($C$4),_xlfn.ANCHORARRAY($D$4)=O26))</f>
        <v>0.47900148668080794</v>
      </c>
      <c r="V26" t="s">
        <v>565</v>
      </c>
      <c r="W26" s="1" t="str">
        <f>TEXT(R29,"0,00")&amp;" ± "&amp;TEXT((W25*T29/SQRT(P29)),"0,00")</f>
        <v>0,39 ± 0,07</v>
      </c>
      <c r="X26" s="1" t="str">
        <f>TEXT(R29,"0,00")&amp;" ± "&amp;TEXT((X25*T29/SQRT(P29)),"0,00")</f>
        <v>0,39 ± 0,09</v>
      </c>
      <c r="Y26" s="1" t="str">
        <f>TEXT(R29,"0,00")&amp;" ± "&amp;TEXT((Y25*T29/SQRT(P29)),"0,00")</f>
        <v>0,39 ± 0,11</v>
      </c>
    </row>
    <row r="27" spans="1:25" x14ac:dyDescent="0.25">
      <c r="A27">
        <v>2</v>
      </c>
      <c r="B27" t="str">
        <v>ESTACION EL CHAGUALO</v>
      </c>
      <c r="C27">
        <v>0.32</v>
      </c>
      <c r="D27">
        <v>2022</v>
      </c>
      <c r="E27" s="61">
        <v>2021</v>
      </c>
      <c r="F27" s="61">
        <v>0.24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0.12</v>
      </c>
      <c r="R27" s="10">
        <f t="shared" si="2"/>
        <v>0.19333333333333336</v>
      </c>
      <c r="S27" s="10">
        <f t="shared" si="3"/>
        <v>0.28000000000000003</v>
      </c>
      <c r="T27" s="10" cm="1">
        <f t="array" ref="T27">_xlfn.STDEV.S(_xlfn._xlws.FILTER(_xlfn.ANCHORARRAY($C$4),_xlfn.ANCHORARRAY($D$4)=O27))</f>
        <v>5.0692178585033797E-2</v>
      </c>
      <c r="V27" t="s">
        <v>566</v>
      </c>
      <c r="W27" s="10">
        <f>R29-(W25*T29/SQRT(P29))</f>
        <v>0.31594425473621396</v>
      </c>
      <c r="X27" s="10">
        <f>R29-(X25*T29/SQRT(P29))</f>
        <v>0.30214627047437276</v>
      </c>
      <c r="Y27" s="10">
        <f>R29-(Y25*T29/SQRT(P29))</f>
        <v>0.27517889293677777</v>
      </c>
    </row>
    <row r="28" spans="1:25" x14ac:dyDescent="0.25">
      <c r="A28">
        <v>2</v>
      </c>
      <c r="B28" t="str">
        <v>ESTACION EL CHAGUALO</v>
      </c>
      <c r="C28">
        <v>0.1</v>
      </c>
      <c r="D28">
        <v>2022</v>
      </c>
      <c r="E28" s="61">
        <v>2021</v>
      </c>
      <c r="F28" s="61">
        <v>0.44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0.22</v>
      </c>
      <c r="R28" s="10">
        <f t="shared" si="2"/>
        <v>0.65833333333333333</v>
      </c>
      <c r="S28" s="10">
        <f t="shared" si="3"/>
        <v>1.5</v>
      </c>
      <c r="T28" s="10" cm="1">
        <f t="array" ref="T28">_xlfn.STDEV.S(_xlfn._xlws.FILTER(_xlfn.ANCHORARRAY($C$4),_xlfn.ANCHORARRAY($D$4)=O28))</f>
        <v>0.45362846899063552</v>
      </c>
      <c r="V28" t="s">
        <v>567</v>
      </c>
      <c r="W28" s="10">
        <f>R29+(W25*T29/SQRT(P29))</f>
        <v>0.4599932452637861</v>
      </c>
      <c r="X28" s="10">
        <f>R29+(X25*T29/SQRT(P29))</f>
        <v>0.4737912295256273</v>
      </c>
      <c r="Y28" s="10">
        <f>R29+(Y25*T29/SQRT(P29))</f>
        <v>0.50075860706322228</v>
      </c>
    </row>
    <row r="29" spans="1:25" x14ac:dyDescent="0.25">
      <c r="A29">
        <v>2</v>
      </c>
      <c r="B29" t="str">
        <v>ESTACION EL CHAGUALO</v>
      </c>
      <c r="C29">
        <v>0.14000000000000001</v>
      </c>
      <c r="D29">
        <v>2022</v>
      </c>
      <c r="E29" s="61">
        <v>2021</v>
      </c>
      <c r="F29" s="61">
        <v>0.9</v>
      </c>
      <c r="O29" t="s">
        <v>568</v>
      </c>
      <c r="P29" s="1">
        <f>SUM(P23:P28)</f>
        <v>64</v>
      </c>
      <c r="R29" s="10">
        <f>AVERAGE(_xlfn.ANCHORARRAY(C4))</f>
        <v>0.38796875000000003</v>
      </c>
      <c r="T29" s="10">
        <f>_xlfn.STDEV.S(_xlfn.ANCHORARRAY(C4))</f>
        <v>0.350302271684925</v>
      </c>
    </row>
    <row r="30" spans="1:25" x14ac:dyDescent="0.25">
      <c r="A30">
        <v>2</v>
      </c>
      <c r="B30" t="str">
        <v>ESTACION EL CHAGUALO</v>
      </c>
      <c r="C30">
        <v>0.28000000000000003</v>
      </c>
      <c r="D30">
        <v>2023</v>
      </c>
      <c r="E30" s="61">
        <v>2021</v>
      </c>
      <c r="F30" s="61">
        <v>0.42</v>
      </c>
      <c r="H30" s="135" t="str">
        <f>'Estadistico resumen'!$K$1</f>
        <v>λ=525 (m⁻¹)</v>
      </c>
      <c r="I30" s="135"/>
      <c r="J30" s="135"/>
      <c r="K30" s="135"/>
      <c r="L30" s="135"/>
      <c r="M30" s="135"/>
      <c r="N30" s="135"/>
    </row>
    <row r="31" spans="1:25" x14ac:dyDescent="0.25">
      <c r="A31">
        <v>2</v>
      </c>
      <c r="B31" t="str">
        <v>ESTACION EL CHAGUALO</v>
      </c>
      <c r="C31">
        <v>0.14000000000000001</v>
      </c>
      <c r="D31">
        <v>2023</v>
      </c>
      <c r="E31" s="61">
        <v>2021</v>
      </c>
      <c r="F31" s="61">
        <v>0.87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EL CHAGUALO</v>
      </c>
      <c r="C32">
        <v>0.18</v>
      </c>
      <c r="D32">
        <v>2023</v>
      </c>
      <c r="E32" s="61">
        <v>2022</v>
      </c>
      <c r="F32" s="61">
        <v>0.4</v>
      </c>
      <c r="H32" s="1" cm="1">
        <f t="array" ref="H32:H35">_xlfn._xlws.SORT(_xlfn.UNIQUE(_xlfn.ANCHORARRAY(A4)))</f>
        <v>1</v>
      </c>
      <c r="I32" t="str">
        <f>IFERROR(VLOOKUP(H32,$A$4:$B$161,2),"")</f>
        <v>ESTACION LA AMISTAD</v>
      </c>
      <c r="J32" s="46">
        <f>COUNTIF(_xlfn.ANCHORARRAY($B$4),I32)</f>
        <v>16</v>
      </c>
      <c r="K32" s="10">
        <f>_xlfn.MINIFS(_xlfn.ANCHORARRAY($C$4),_xlfn.ANCHORARRAY($B$4),I32)</f>
        <v>0.1</v>
      </c>
      <c r="L32" s="10">
        <f>SUMIFS(_xlfn.ANCHORARRAY($C$4),_xlfn.ANCHORARRAY($B$4),I32)/J32</f>
        <v>0.24125000000000008</v>
      </c>
      <c r="M32" s="10">
        <f>_xlfn.MAXIFS(_xlfn.ANCHORARRAY($C$4),_xlfn.ANCHORARRAY($B$4),I32)</f>
        <v>0.5</v>
      </c>
      <c r="N32" s="10" cm="1">
        <f t="array" ref="N32">_xlfn.STDEV.S(_xlfn._xlws.FILTER(_xlfn.ANCHORARRAY($C$4),_xlfn.ANCHORARRAY($B$4)=I32))</f>
        <v>0.12382110751671795</v>
      </c>
    </row>
    <row r="33" spans="1:14" x14ac:dyDescent="0.25">
      <c r="A33">
        <v>2</v>
      </c>
      <c r="B33" t="str">
        <v>ESTACION EL CHAGUALO</v>
      </c>
      <c r="C33">
        <v>0.38</v>
      </c>
      <c r="D33">
        <v>2024</v>
      </c>
      <c r="E33" s="61">
        <v>2022</v>
      </c>
      <c r="F33" s="61">
        <v>0.1</v>
      </c>
      <c r="H33" s="1">
        <v>2</v>
      </c>
      <c r="I33" t="str">
        <f t="shared" ref="I33:I35" si="4">VLOOKUP(H33,$A$4:$B$161,2)</f>
        <v>ESTACION EL CHAGUALO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0.1</v>
      </c>
      <c r="L33" s="10">
        <f t="shared" ref="L33:L35" si="7">SUMIFS(_xlfn.ANCHORARRAY($C$4),_xlfn.ANCHORARRAY($B$4),I33)/J33</f>
        <v>0.38624999999999993</v>
      </c>
      <c r="M33" s="10">
        <f t="shared" ref="M33:M35" si="8">_xlfn.MAXIFS(_xlfn.ANCHORARRAY($C$4),_xlfn.ANCHORARRAY($B$4),I33)</f>
        <v>1.3</v>
      </c>
      <c r="N33" s="10" cm="1">
        <f t="array" ref="N33">_xlfn.STDEV.S(_xlfn._xlws.FILTER(_xlfn.ANCHORARRAY($C$4),_xlfn.ANCHORARRAY($B$4)=I33))</f>
        <v>0.32014319712695244</v>
      </c>
    </row>
    <row r="34" spans="1:14" x14ac:dyDescent="0.25">
      <c r="A34">
        <v>2</v>
      </c>
      <c r="B34" t="str">
        <v>ESTACION EL CHAGUALO</v>
      </c>
      <c r="C34">
        <v>0.3</v>
      </c>
      <c r="D34">
        <v>2024</v>
      </c>
      <c r="E34" s="61">
        <v>2022</v>
      </c>
      <c r="F34" s="61">
        <v>0.14000000000000001</v>
      </c>
      <c r="H34" s="1">
        <v>3</v>
      </c>
      <c r="I34" t="str">
        <f t="shared" si="4"/>
        <v>ESTACION PUENTE LA FERIA</v>
      </c>
      <c r="J34" s="46">
        <f t="shared" si="5"/>
        <v>16</v>
      </c>
      <c r="K34" s="10">
        <f t="shared" si="6"/>
        <v>0.12</v>
      </c>
      <c r="L34" s="10">
        <f t="shared" si="7"/>
        <v>0.34500000000000008</v>
      </c>
      <c r="M34" s="10">
        <f t="shared" si="8"/>
        <v>1.06</v>
      </c>
      <c r="N34" s="10" cm="1">
        <f t="array" ref="N34">_xlfn.STDEV.S(_xlfn._xlws.FILTER(_xlfn.ANCHORARRAY($C$4),_xlfn.ANCHORARRAY($B$4)=I34))</f>
        <v>0.25544732007467469</v>
      </c>
    </row>
    <row r="35" spans="1:14" x14ac:dyDescent="0.25">
      <c r="A35">
        <v>2</v>
      </c>
      <c r="B35" t="str">
        <v>ESTACION EL CHAGUALO</v>
      </c>
      <c r="C35">
        <v>1.3</v>
      </c>
      <c r="D35">
        <v>2024</v>
      </c>
      <c r="E35" s="61">
        <v>2022</v>
      </c>
      <c r="F35" s="61">
        <v>0.32</v>
      </c>
      <c r="H35" s="1">
        <v>4</v>
      </c>
      <c r="I35" t="str">
        <f t="shared" si="4"/>
        <v>ESTACION ALCARAVANES</v>
      </c>
      <c r="J35" s="46">
        <f t="shared" si="5"/>
        <v>16</v>
      </c>
      <c r="K35" s="10">
        <f t="shared" si="6"/>
        <v>0.14000000000000001</v>
      </c>
      <c r="L35" s="10">
        <f t="shared" si="7"/>
        <v>0.57937499999999997</v>
      </c>
      <c r="M35" s="10">
        <f t="shared" si="8"/>
        <v>1.82</v>
      </c>
      <c r="N35" s="10" cm="1">
        <f t="array" ref="N35">_xlfn.STDEV.S(_xlfn._xlws.FILTER(_xlfn.ANCHORARRAY($C$4),_xlfn.ANCHORARRAY($B$4)=I35))</f>
        <v>0.5179764312527485</v>
      </c>
    </row>
    <row r="36" spans="1:14" x14ac:dyDescent="0.25">
      <c r="A36">
        <v>3</v>
      </c>
      <c r="B36" t="str">
        <v>ESTACION PUENTE LA FERIA</v>
      </c>
      <c r="C36">
        <v>0.2</v>
      </c>
      <c r="D36">
        <v>2021</v>
      </c>
      <c r="E36" s="61">
        <v>2022</v>
      </c>
      <c r="F36" s="61">
        <v>0.1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PUENTE LA FERIA</v>
      </c>
      <c r="C37">
        <v>0.8</v>
      </c>
      <c r="D37">
        <v>2019</v>
      </c>
      <c r="E37" s="61">
        <v>2022</v>
      </c>
      <c r="F37" s="61">
        <v>0.14000000000000001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PUENTE LA FERIA</v>
      </c>
      <c r="C38">
        <v>0.3</v>
      </c>
      <c r="D38">
        <v>2020</v>
      </c>
      <c r="E38" s="61">
        <v>2022</v>
      </c>
      <c r="F38" s="61">
        <v>0.44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PUENTE LA FERIA</v>
      </c>
      <c r="C39">
        <v>0.2</v>
      </c>
      <c r="D39">
        <v>2020</v>
      </c>
      <c r="E39" s="61">
        <v>2022</v>
      </c>
      <c r="F39" s="61">
        <v>0.16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PUENTE LA FERIA</v>
      </c>
      <c r="C40">
        <v>0.2</v>
      </c>
      <c r="D40">
        <v>2020</v>
      </c>
      <c r="E40" s="61">
        <v>2022</v>
      </c>
      <c r="F40" s="61">
        <v>0.16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PUENTE LA FERIA</v>
      </c>
      <c r="C41">
        <v>0.24</v>
      </c>
      <c r="D41">
        <v>2021</v>
      </c>
      <c r="E41" s="61">
        <v>2022</v>
      </c>
      <c r="F41" s="61">
        <v>1.82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PUENTE LA FERIA</v>
      </c>
      <c r="C42">
        <v>0.44</v>
      </c>
      <c r="D42">
        <v>2021</v>
      </c>
      <c r="E42" s="61">
        <v>2022</v>
      </c>
      <c r="F42" s="61">
        <v>0.2</v>
      </c>
    </row>
    <row r="43" spans="1:14" x14ac:dyDescent="0.25">
      <c r="A43">
        <v>3</v>
      </c>
      <c r="B43" t="str">
        <v>ESTACION PUENTE LA FERIA</v>
      </c>
      <c r="C43">
        <v>0.44</v>
      </c>
      <c r="D43">
        <v>2022</v>
      </c>
      <c r="E43" s="61">
        <v>2022</v>
      </c>
      <c r="F43" s="61">
        <v>0.14000000000000001</v>
      </c>
    </row>
    <row r="44" spans="1:14" x14ac:dyDescent="0.25">
      <c r="A44">
        <v>3</v>
      </c>
      <c r="B44" t="str">
        <v>ESTACION PUENTE LA FERIA</v>
      </c>
      <c r="C44">
        <v>0.16</v>
      </c>
      <c r="D44">
        <v>2022</v>
      </c>
      <c r="E44" s="61">
        <v>2023</v>
      </c>
      <c r="F44" s="61">
        <v>0.22</v>
      </c>
    </row>
    <row r="45" spans="1:14" x14ac:dyDescent="0.25">
      <c r="A45">
        <v>3</v>
      </c>
      <c r="B45" t="str">
        <v>ESTACION PUENTE LA FERIA</v>
      </c>
      <c r="C45">
        <v>0.16</v>
      </c>
      <c r="D45">
        <v>2022</v>
      </c>
      <c r="E45" s="61">
        <v>2023</v>
      </c>
      <c r="F45" s="61">
        <v>0.18</v>
      </c>
    </row>
    <row r="46" spans="1:14" x14ac:dyDescent="0.25">
      <c r="A46">
        <v>3</v>
      </c>
      <c r="B46" t="str">
        <v>ESTACION PUENTE LA FERIA</v>
      </c>
      <c r="C46">
        <v>0.26</v>
      </c>
      <c r="D46">
        <v>2023</v>
      </c>
      <c r="E46" s="61">
        <v>2023</v>
      </c>
      <c r="F46" s="61">
        <v>0.18</v>
      </c>
    </row>
    <row r="47" spans="1:14" x14ac:dyDescent="0.25">
      <c r="A47">
        <v>3</v>
      </c>
      <c r="B47" t="str">
        <v>ESTACION PUENTE LA FERIA</v>
      </c>
      <c r="C47">
        <v>0.12</v>
      </c>
      <c r="D47">
        <v>2023</v>
      </c>
      <c r="E47" s="61">
        <v>2023</v>
      </c>
      <c r="F47" s="61">
        <v>0.28000000000000003</v>
      </c>
    </row>
    <row r="48" spans="1:14" x14ac:dyDescent="0.25">
      <c r="A48">
        <v>3</v>
      </c>
      <c r="B48" t="str">
        <v>ESTACION PUENTE LA FERIA</v>
      </c>
      <c r="C48">
        <v>0.16</v>
      </c>
      <c r="D48">
        <v>2023</v>
      </c>
      <c r="E48" s="61">
        <v>2023</v>
      </c>
      <c r="F48" s="61">
        <v>0.14000000000000001</v>
      </c>
    </row>
    <row r="49" spans="1:6" x14ac:dyDescent="0.25">
      <c r="A49">
        <v>3</v>
      </c>
      <c r="B49" t="str">
        <v>ESTACION PUENTE LA FERIA</v>
      </c>
      <c r="C49">
        <v>0.36</v>
      </c>
      <c r="D49">
        <v>2024</v>
      </c>
      <c r="E49" s="61">
        <v>2023</v>
      </c>
      <c r="F49" s="61">
        <v>0.18</v>
      </c>
    </row>
    <row r="50" spans="1:6" x14ac:dyDescent="0.25">
      <c r="A50">
        <v>3</v>
      </c>
      <c r="B50" t="str">
        <v>ESTACION PUENTE LA FERIA</v>
      </c>
      <c r="C50">
        <v>0.42</v>
      </c>
      <c r="D50">
        <v>2024</v>
      </c>
      <c r="E50" s="61">
        <v>2023</v>
      </c>
      <c r="F50" s="61">
        <v>0.26</v>
      </c>
    </row>
    <row r="51" spans="1:6" x14ac:dyDescent="0.25">
      <c r="A51">
        <v>3</v>
      </c>
      <c r="B51" t="str">
        <v>ESTACION PUENTE LA FERIA</v>
      </c>
      <c r="C51">
        <v>1.06</v>
      </c>
      <c r="D51">
        <v>2024</v>
      </c>
      <c r="E51" s="61">
        <v>2023</v>
      </c>
      <c r="F51" s="61">
        <v>0.12</v>
      </c>
    </row>
    <row r="52" spans="1:6" x14ac:dyDescent="0.25">
      <c r="A52">
        <v>4</v>
      </c>
      <c r="B52" t="str">
        <v>ESTACION ALCARAVANES</v>
      </c>
      <c r="C52">
        <v>0.9</v>
      </c>
      <c r="D52">
        <v>2021</v>
      </c>
      <c r="E52" s="61">
        <v>2023</v>
      </c>
      <c r="F52" s="61">
        <v>0.16</v>
      </c>
    </row>
    <row r="53" spans="1:6" x14ac:dyDescent="0.25">
      <c r="A53">
        <v>4</v>
      </c>
      <c r="B53" t="str">
        <v>ESTACION ALCARAVANES</v>
      </c>
      <c r="C53">
        <v>0.2</v>
      </c>
      <c r="D53">
        <v>2019</v>
      </c>
      <c r="E53" s="61">
        <v>2023</v>
      </c>
      <c r="F53" s="61">
        <v>0.26</v>
      </c>
    </row>
    <row r="54" spans="1:6" x14ac:dyDescent="0.25">
      <c r="A54">
        <v>4</v>
      </c>
      <c r="B54" t="str">
        <v>ESTACION ALCARAVANES</v>
      </c>
      <c r="C54">
        <v>0.4</v>
      </c>
      <c r="D54">
        <v>2020</v>
      </c>
      <c r="E54" s="61">
        <v>2023</v>
      </c>
      <c r="F54" s="61">
        <v>0.18</v>
      </c>
    </row>
    <row r="55" spans="1:6" x14ac:dyDescent="0.25">
      <c r="A55">
        <v>4</v>
      </c>
      <c r="B55" t="str">
        <v>ESTACION ALCARAVANES</v>
      </c>
      <c r="C55">
        <v>0.2</v>
      </c>
      <c r="D55">
        <v>2020</v>
      </c>
      <c r="E55" s="61">
        <v>2023</v>
      </c>
      <c r="F55" s="61">
        <v>0.16</v>
      </c>
    </row>
    <row r="56" spans="1:6" x14ac:dyDescent="0.25">
      <c r="A56">
        <v>4</v>
      </c>
      <c r="B56" t="str">
        <v>ESTACION ALCARAVANES</v>
      </c>
      <c r="C56">
        <v>0.4</v>
      </c>
      <c r="D56">
        <v>2020</v>
      </c>
      <c r="E56" s="61">
        <v>2024</v>
      </c>
      <c r="F56" s="61">
        <v>0.22</v>
      </c>
    </row>
    <row r="57" spans="1:6" x14ac:dyDescent="0.25">
      <c r="A57">
        <v>4</v>
      </c>
      <c r="B57" t="str">
        <v>ESTACION ALCARAVANES</v>
      </c>
      <c r="C57">
        <v>0.42</v>
      </c>
      <c r="D57">
        <v>2021</v>
      </c>
      <c r="E57" s="61">
        <v>2024</v>
      </c>
      <c r="F57" s="61">
        <v>0.24</v>
      </c>
    </row>
    <row r="58" spans="1:6" x14ac:dyDescent="0.25">
      <c r="A58">
        <v>4</v>
      </c>
      <c r="B58" t="str">
        <v>ESTACION ALCARAVANES</v>
      </c>
      <c r="C58">
        <v>0.87</v>
      </c>
      <c r="D58">
        <v>2021</v>
      </c>
      <c r="E58" s="61">
        <v>2024</v>
      </c>
      <c r="F58" s="61">
        <v>0.5</v>
      </c>
    </row>
    <row r="59" spans="1:6" x14ac:dyDescent="0.25">
      <c r="A59">
        <v>4</v>
      </c>
      <c r="B59" t="str">
        <v>ESTACION ALCARAVANES</v>
      </c>
      <c r="C59">
        <v>1.82</v>
      </c>
      <c r="D59">
        <v>2022</v>
      </c>
      <c r="E59" s="61">
        <v>2024</v>
      </c>
      <c r="F59" s="61">
        <v>0.38</v>
      </c>
    </row>
    <row r="60" spans="1:6" x14ac:dyDescent="0.25">
      <c r="A60">
        <v>4</v>
      </c>
      <c r="B60" t="str">
        <v>ESTACION ALCARAVANES</v>
      </c>
      <c r="C60">
        <v>0.2</v>
      </c>
      <c r="D60">
        <v>2022</v>
      </c>
      <c r="E60" s="61">
        <v>2024</v>
      </c>
      <c r="F60" s="61">
        <v>0.3</v>
      </c>
    </row>
    <row r="61" spans="1:6" x14ac:dyDescent="0.25">
      <c r="A61">
        <v>4</v>
      </c>
      <c r="B61" t="str">
        <v>ESTACION ALCARAVANES</v>
      </c>
      <c r="C61">
        <v>0.14000000000000001</v>
      </c>
      <c r="D61">
        <v>2022</v>
      </c>
      <c r="E61" s="61">
        <v>2024</v>
      </c>
      <c r="F61" s="61">
        <v>1.3</v>
      </c>
    </row>
    <row r="62" spans="1:6" x14ac:dyDescent="0.25">
      <c r="A62">
        <v>4</v>
      </c>
      <c r="B62" t="str">
        <v>ESTACION ALCARAVANES</v>
      </c>
      <c r="C62">
        <v>0.26</v>
      </c>
      <c r="D62">
        <v>2023</v>
      </c>
      <c r="E62" s="61">
        <v>2024</v>
      </c>
      <c r="F62" s="61">
        <v>0.36</v>
      </c>
    </row>
    <row r="63" spans="1:6" x14ac:dyDescent="0.25">
      <c r="A63">
        <v>4</v>
      </c>
      <c r="B63" t="str">
        <v>ESTACION ALCARAVANES</v>
      </c>
      <c r="C63">
        <v>0.18</v>
      </c>
      <c r="D63">
        <v>2023</v>
      </c>
      <c r="E63" s="61">
        <v>2024</v>
      </c>
      <c r="F63" s="61">
        <v>0.42</v>
      </c>
    </row>
    <row r="64" spans="1:6" x14ac:dyDescent="0.25">
      <c r="A64">
        <v>4</v>
      </c>
      <c r="B64" t="str">
        <v>ESTACION ALCARAVANES</v>
      </c>
      <c r="C64">
        <v>0.16</v>
      </c>
      <c r="D64">
        <v>2023</v>
      </c>
      <c r="E64" s="61">
        <v>2024</v>
      </c>
      <c r="F64" s="61">
        <v>1.06</v>
      </c>
    </row>
    <row r="65" spans="1:6" x14ac:dyDescent="0.25">
      <c r="A65">
        <v>4</v>
      </c>
      <c r="B65" t="str">
        <v>ESTACION ALCARAVANES</v>
      </c>
      <c r="C65">
        <v>1.1200000000000001</v>
      </c>
      <c r="D65">
        <v>2024</v>
      </c>
      <c r="E65" s="61">
        <v>2024</v>
      </c>
      <c r="F65" s="61">
        <v>1.1200000000000001</v>
      </c>
    </row>
    <row r="66" spans="1:6" x14ac:dyDescent="0.25">
      <c r="A66">
        <v>4</v>
      </c>
      <c r="B66" t="str">
        <v>ESTACION ALCARAVANES</v>
      </c>
      <c r="C66">
        <v>0.5</v>
      </c>
      <c r="D66">
        <v>2024</v>
      </c>
      <c r="E66" s="61">
        <v>2024</v>
      </c>
      <c r="F66" s="61">
        <v>0.5</v>
      </c>
    </row>
    <row r="67" spans="1:6" x14ac:dyDescent="0.25">
      <c r="A67">
        <v>4</v>
      </c>
      <c r="B67" t="str">
        <v>ESTACION ALCARAVANES</v>
      </c>
      <c r="C67">
        <v>1.5</v>
      </c>
      <c r="D67">
        <v>2024</v>
      </c>
      <c r="E67" s="61">
        <v>2024</v>
      </c>
      <c r="F67" s="61">
        <v>1.5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0067-5511-4A75-B3B2-5BB1CC66DF34}">
  <sheetPr>
    <tabColor theme="5" tint="-0.249977111117893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121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λ=620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67">_xlfn._xlws.FILTER(CHOOSE(1,'Resultados historicos'!C:C,'Resultados historicos'!D:D,'Resultados historicos'!O:O,'Resultados historicos'!A:A),'Resultados historicos'!H:H=A2)</f>
        <v>1</v>
      </c>
      <c r="B4" t="str" cm="1">
        <f t="array" ref="B4:B67">_xlfn._xlws.FILTER(CHOOSE(2,'Resultados historicos'!C:C,'Resultados historicos'!D:D,'Resultados historicos'!O:O,'Resultados historicos'!A:A),'Resultados historicos'!H:H=A2)</f>
        <v>ESTACION PUENTE LARGA</v>
      </c>
      <c r="C4" cm="1">
        <f t="array" ref="C4:C67">_xlfn._xlws.FILTER(CHOOSE(3,'Resultados historicos'!C:C,'Resultados historicos'!D:D,'Resultados historicos'!Q:Q,'Resultados historicos'!A:A),'Resultados historicos'!H:H=A2)</f>
        <v>0.1</v>
      </c>
      <c r="D4" cm="1">
        <f t="array" ref="D4:D67">_xlfn._xlws.FILTER(CHOOSE(4,'Resultados historicos'!C:C,'Resultados historicos'!D:D,'Resultados historicos'!O:O,'Resultados historicos'!A:A),'Resultados historicos'!H:H=A2)</f>
        <v>2019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ESTACION PUENTE LARGA</v>
      </c>
      <c r="C5">
        <v>0.1</v>
      </c>
      <c r="D5">
        <v>2020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ESTACION PUENTE LARGA</v>
      </c>
      <c r="C6">
        <v>0.1</v>
      </c>
      <c r="D6">
        <v>2020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ESTACION PUENTE LARGA</v>
      </c>
      <c r="C7">
        <v>0.1</v>
      </c>
      <c r="D7">
        <v>2020</v>
      </c>
      <c r="E7" s="61">
        <v>2019</v>
      </c>
      <c r="F7" s="61">
        <v>0.5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ESTACION PUENTE LARGA</v>
      </c>
      <c r="C8">
        <v>0.2</v>
      </c>
      <c r="D8">
        <v>2021</v>
      </c>
      <c r="E8" s="61">
        <v>2020</v>
      </c>
      <c r="F8" s="61">
        <v>0.1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ESTACION PUENTE LARGA</v>
      </c>
      <c r="C9">
        <v>0.1</v>
      </c>
      <c r="D9">
        <v>2021</v>
      </c>
      <c r="E9" s="61">
        <v>2020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ESTACION PUENTE LARGA</v>
      </c>
      <c r="C10">
        <v>0.12</v>
      </c>
      <c r="D10">
        <v>2021</v>
      </c>
      <c r="E10" s="61">
        <v>2020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ESTACION PUENTE LARGA</v>
      </c>
      <c r="C11">
        <v>0.2</v>
      </c>
      <c r="D11">
        <v>2022</v>
      </c>
      <c r="E11" s="61">
        <v>2020</v>
      </c>
      <c r="F11" s="61">
        <v>0.3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ESTACION PUENTE LARGA</v>
      </c>
      <c r="C12">
        <v>0.06</v>
      </c>
      <c r="D12">
        <v>2022</v>
      </c>
      <c r="E12" s="61">
        <v>2020</v>
      </c>
      <c r="F12" s="61">
        <v>0.1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ESTACION PUENTE LARGA</v>
      </c>
      <c r="C13">
        <v>0.06</v>
      </c>
      <c r="D13">
        <v>2022</v>
      </c>
      <c r="E13" s="61">
        <v>2020</v>
      </c>
      <c r="F13" s="61">
        <v>0.2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ESTACION PUENTE LARGA</v>
      </c>
      <c r="C14">
        <v>0.1</v>
      </c>
      <c r="D14">
        <v>2023</v>
      </c>
      <c r="E14" s="61">
        <v>2020</v>
      </c>
      <c r="F14" s="61">
        <v>0.3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ESTACION PUENTE LARGA</v>
      </c>
      <c r="C15">
        <v>0.08</v>
      </c>
      <c r="D15">
        <v>2023</v>
      </c>
      <c r="E15" s="61">
        <v>2020</v>
      </c>
      <c r="F15" s="61">
        <v>0.1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ESTACION PUENTE LARGA</v>
      </c>
      <c r="C16">
        <v>0.32</v>
      </c>
      <c r="D16">
        <v>2023</v>
      </c>
      <c r="E16" s="61">
        <v>2020</v>
      </c>
      <c r="F16" s="61">
        <v>0.3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ESTACION PUENTE LARGA</v>
      </c>
      <c r="C17">
        <v>0.14000000000000001</v>
      </c>
      <c r="D17">
        <v>2024</v>
      </c>
      <c r="E17" s="61">
        <v>2020</v>
      </c>
      <c r="F17" s="61">
        <v>1.4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ESTACION PUENTE LARGA</v>
      </c>
      <c r="C18">
        <v>0.08</v>
      </c>
      <c r="D18">
        <v>2024</v>
      </c>
      <c r="E18" s="61">
        <v>2020</v>
      </c>
      <c r="F18" s="61">
        <v>0.2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ESTACION PUENTE LARGA</v>
      </c>
      <c r="C19">
        <v>0.1</v>
      </c>
      <c r="D19">
        <v>2024</v>
      </c>
      <c r="E19" s="61">
        <v>2020</v>
      </c>
      <c r="F19" s="61">
        <v>0.7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FLOR SILVESTRE</v>
      </c>
      <c r="C20">
        <v>0.1</v>
      </c>
      <c r="D20">
        <v>2019</v>
      </c>
      <c r="E20" s="61">
        <v>2021</v>
      </c>
      <c r="F20" s="61">
        <v>0.2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FLOR SILVESTRE</v>
      </c>
      <c r="C21">
        <v>0.3</v>
      </c>
      <c r="D21">
        <v>2020</v>
      </c>
      <c r="E21" s="61">
        <v>2021</v>
      </c>
      <c r="F21" s="61">
        <v>0.1</v>
      </c>
      <c r="H21" s="131"/>
      <c r="I21" s="131"/>
      <c r="J21" s="131"/>
      <c r="K21" s="131"/>
      <c r="L21" s="131"/>
      <c r="M21" s="131"/>
      <c r="N21" s="131"/>
      <c r="O21" s="137" t="str">
        <f>H30</f>
        <v>λ=620 (m⁻¹)</v>
      </c>
      <c r="P21" s="137"/>
      <c r="Q21" s="137"/>
      <c r="R21" s="137"/>
      <c r="S21" s="137"/>
      <c r="T21" s="137"/>
      <c r="W21" s="138" t="str">
        <f>O21</f>
        <v>λ=620 (m⁻¹)</v>
      </c>
      <c r="X21" s="138"/>
      <c r="Y21" s="138"/>
    </row>
    <row r="22" spans="1:25" x14ac:dyDescent="0.25">
      <c r="A22">
        <v>2</v>
      </c>
      <c r="B22" t="str">
        <v>ESTACION FLOR SILVESTRE</v>
      </c>
      <c r="C22">
        <v>0.1</v>
      </c>
      <c r="D22">
        <v>2020</v>
      </c>
      <c r="E22" s="61">
        <v>2021</v>
      </c>
      <c r="F22" s="61">
        <v>0.12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FLOR SILVESTRE</v>
      </c>
      <c r="C23">
        <v>0.2</v>
      </c>
      <c r="D23">
        <v>2020</v>
      </c>
      <c r="E23" s="61">
        <v>2021</v>
      </c>
      <c r="F23" s="61">
        <v>0.96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4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0.2</v>
      </c>
      <c r="S23" s="10">
        <f t="shared" ref="S23:S28" si="3">_xlfn.MAXIFS(_xlfn.ANCHORARRAY($C$4),_xlfn.ANCHORARRAY($D$4),O23)</f>
        <v>0.5</v>
      </c>
      <c r="T23" s="10" cm="1">
        <f t="array" ref="T23">_xlfn.STDEV.S(_xlfn._xlws.FILTER(_xlfn.ANCHORARRAY($C$4),_xlfn.ANCHORARRAY($D$4)=O23))</f>
        <v>0.2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FLOR SILVESTRE</v>
      </c>
      <c r="C24">
        <v>0.96</v>
      </c>
      <c r="D24">
        <v>2021</v>
      </c>
      <c r="E24" s="61">
        <v>2021</v>
      </c>
      <c r="F24" s="61">
        <v>0.1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12</v>
      </c>
      <c r="Q24" s="10">
        <f t="shared" si="1"/>
        <v>0.1</v>
      </c>
      <c r="R24" s="10">
        <f t="shared" si="2"/>
        <v>0.32500000000000001</v>
      </c>
      <c r="S24" s="10">
        <f t="shared" si="3"/>
        <v>1.4</v>
      </c>
      <c r="T24" s="10" cm="1">
        <f t="array" ref="T24">_xlfn.STDEV.S(_xlfn._xlws.FILTER(_xlfn.ANCHORARRAY($C$4),_xlfn.ANCHORARRAY($D$4)=O24))</f>
        <v>0.37929360179633442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FLOR SILVESTRE</v>
      </c>
      <c r="C25">
        <v>0.1</v>
      </c>
      <c r="D25">
        <v>2021</v>
      </c>
      <c r="E25" s="61">
        <v>2021</v>
      </c>
      <c r="F25" s="61">
        <v>0.38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12</v>
      </c>
      <c r="Q25" s="10">
        <f t="shared" si="1"/>
        <v>0.1</v>
      </c>
      <c r="R25" s="10">
        <f t="shared" si="2"/>
        <v>0.43083333333333335</v>
      </c>
      <c r="S25" s="10">
        <f t="shared" si="3"/>
        <v>1.57</v>
      </c>
      <c r="T25" s="10" cm="1">
        <f t="array" ref="T25">_xlfn.STDEV.S(_xlfn._xlws.FILTER(_xlfn.ANCHORARRAY($C$4),_xlfn.ANCHORARRAY($D$4)=O25))</f>
        <v>0.45502164450682681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FLOR SILVESTRE</v>
      </c>
      <c r="C26">
        <v>0.38</v>
      </c>
      <c r="D26">
        <v>2021</v>
      </c>
      <c r="E26" s="61">
        <v>2021</v>
      </c>
      <c r="F26" s="61">
        <v>0.14000000000000001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12</v>
      </c>
      <c r="Q26" s="10">
        <f t="shared" si="1"/>
        <v>0.06</v>
      </c>
      <c r="R26" s="10">
        <f t="shared" si="2"/>
        <v>0.29416666666666663</v>
      </c>
      <c r="S26" s="10">
        <f t="shared" si="3"/>
        <v>0.84</v>
      </c>
      <c r="T26" s="10" cm="1">
        <f t="array" ref="T26">_xlfn.STDEV.S(_xlfn._xlws.FILTER(_xlfn.ANCHORARRAY($C$4),_xlfn.ANCHORARRAY($D$4)=O26))</f>
        <v>0.27681494748570773</v>
      </c>
      <c r="V26" t="s">
        <v>565</v>
      </c>
      <c r="W26" s="1" t="str">
        <f>TEXT(R29,"0,00")&amp;" ± "&amp;TEXT((W25*T29/SQRT(P29)),"0,00")</f>
        <v>0,39 ± 0,09</v>
      </c>
      <c r="X26" s="1" t="str">
        <f>TEXT(R29,"0,00")&amp;" ± "&amp;TEXT((X25*T29/SQRT(P29)),"0,00")</f>
        <v>0,39 ± 0,11</v>
      </c>
      <c r="Y26" s="1" t="str">
        <f>TEXT(R29,"0,00")&amp;" ± "&amp;TEXT((Y25*T29/SQRT(P29)),"0,00")</f>
        <v>0,39 ± 0,15</v>
      </c>
    </row>
    <row r="27" spans="1:25" x14ac:dyDescent="0.25">
      <c r="A27">
        <v>2</v>
      </c>
      <c r="B27" t="str">
        <v>ESTACION FLOR SILVESTRE</v>
      </c>
      <c r="C27">
        <v>0.68</v>
      </c>
      <c r="D27">
        <v>2022</v>
      </c>
      <c r="E27" s="61">
        <v>2021</v>
      </c>
      <c r="F27" s="61">
        <v>0.4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12</v>
      </c>
      <c r="Q27" s="10">
        <f t="shared" si="1"/>
        <v>0.08</v>
      </c>
      <c r="R27" s="10">
        <f t="shared" si="2"/>
        <v>0.48500000000000004</v>
      </c>
      <c r="S27" s="10">
        <f t="shared" si="3"/>
        <v>1.76</v>
      </c>
      <c r="T27" s="10" cm="1">
        <f t="array" ref="T27">_xlfn.STDEV.S(_xlfn._xlws.FILTER(_xlfn.ANCHORARRAY($C$4),_xlfn.ANCHORARRAY($D$4)=O27))</f>
        <v>0.56143485010203176</v>
      </c>
      <c r="V27" t="s">
        <v>566</v>
      </c>
      <c r="W27" s="10">
        <f>R29-(W25*T29/SQRT(P29))</f>
        <v>0.29426286732126827</v>
      </c>
      <c r="X27" s="10">
        <f>R29-(X25*T29/SQRT(P29))</f>
        <v>0.27646097069509101</v>
      </c>
      <c r="Y27" s="10">
        <f>R29-(Y25*T29/SQRT(P29))</f>
        <v>0.24166817356667186</v>
      </c>
    </row>
    <row r="28" spans="1:25" x14ac:dyDescent="0.25">
      <c r="A28">
        <v>2</v>
      </c>
      <c r="B28" t="str">
        <v>ESTACION FLOR SILVESTRE</v>
      </c>
      <c r="C28">
        <v>0.08</v>
      </c>
      <c r="D28">
        <v>2022</v>
      </c>
      <c r="E28" s="61">
        <v>2021</v>
      </c>
      <c r="F28" s="61">
        <v>0.2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12</v>
      </c>
      <c r="Q28" s="10">
        <f t="shared" si="1"/>
        <v>0.08</v>
      </c>
      <c r="R28" s="10">
        <f t="shared" si="2"/>
        <v>0.46333333333333337</v>
      </c>
      <c r="S28" s="10">
        <f t="shared" si="3"/>
        <v>1.7</v>
      </c>
      <c r="T28" s="10" cm="1">
        <f t="array" ref="T28">_xlfn.STDEV.S(_xlfn._xlws.FILTER(_xlfn.ANCHORARRAY($C$4),_xlfn.ANCHORARRAY($D$4)=O28))</f>
        <v>0.60907281746084918</v>
      </c>
      <c r="V28" t="s">
        <v>567</v>
      </c>
      <c r="W28" s="10">
        <f>R29+(W25*T29/SQRT(P29))</f>
        <v>0.48011213267873187</v>
      </c>
      <c r="X28" s="10">
        <f>R29+(X25*T29/SQRT(P29))</f>
        <v>0.49791402930490913</v>
      </c>
      <c r="Y28" s="10">
        <f>R29+(Y25*T29/SQRT(P29))</f>
        <v>0.53270682643332834</v>
      </c>
    </row>
    <row r="29" spans="1:25" x14ac:dyDescent="0.25">
      <c r="A29">
        <v>2</v>
      </c>
      <c r="B29" t="str">
        <v>ESTACION FLOR SILVESTRE</v>
      </c>
      <c r="C29">
        <v>0.18</v>
      </c>
      <c r="D29">
        <v>2022</v>
      </c>
      <c r="E29" s="61">
        <v>2021</v>
      </c>
      <c r="F29" s="61">
        <v>1.57</v>
      </c>
      <c r="O29" t="s">
        <v>568</v>
      </c>
      <c r="P29" s="1">
        <f>SUM(P23:P28)</f>
        <v>64</v>
      </c>
      <c r="R29" s="10">
        <f>AVERAGE(_xlfn.ANCHORARRAY(C4))</f>
        <v>0.38718750000000007</v>
      </c>
      <c r="T29" s="10">
        <f>_xlfn.STDEV.S(_xlfn.ANCHORARRAY(C4))</f>
        <v>0.45195332231941321</v>
      </c>
    </row>
    <row r="30" spans="1:25" x14ac:dyDescent="0.25">
      <c r="A30">
        <v>2</v>
      </c>
      <c r="B30" t="str">
        <v>ESTACION FLOR SILVESTRE</v>
      </c>
      <c r="C30">
        <v>1.42</v>
      </c>
      <c r="D30">
        <v>2023</v>
      </c>
      <c r="E30" s="61">
        <v>2021</v>
      </c>
      <c r="F30" s="61">
        <v>0.2</v>
      </c>
      <c r="H30" s="137" t="str">
        <f>'Estadistico resumen'!$O$1</f>
        <v>λ=620 (m⁻¹)</v>
      </c>
      <c r="I30" s="137"/>
      <c r="J30" s="137"/>
      <c r="K30" s="137"/>
      <c r="L30" s="137"/>
      <c r="M30" s="137"/>
      <c r="N30" s="137"/>
    </row>
    <row r="31" spans="1:25" x14ac:dyDescent="0.25">
      <c r="A31">
        <v>2</v>
      </c>
      <c r="B31" t="str">
        <v>ESTACION FLOR SILVESTRE</v>
      </c>
      <c r="C31">
        <v>0.64</v>
      </c>
      <c r="D31">
        <v>2023</v>
      </c>
      <c r="E31" s="61">
        <v>2021</v>
      </c>
      <c r="F31" s="61">
        <v>0.8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FLOR SILVESTRE</v>
      </c>
      <c r="C32">
        <v>0.14000000000000001</v>
      </c>
      <c r="D32">
        <v>2023</v>
      </c>
      <c r="E32" s="61">
        <v>2022</v>
      </c>
      <c r="F32" s="61">
        <v>0.2</v>
      </c>
      <c r="H32" s="1" cm="1">
        <f t="array" ref="H32:H35">_xlfn._xlws.SORT(_xlfn.UNIQUE(_xlfn.ANCHORARRAY(A4)))</f>
        <v>1</v>
      </c>
      <c r="I32" t="str">
        <f>IFERROR(VLOOKUP(H32,$A$4:$B$161,2),"")</f>
        <v>ESTACION PUENTE LARGA</v>
      </c>
      <c r="J32" s="46">
        <f>COUNTIF(_xlfn.ANCHORARRAY($B$4),I32)</f>
        <v>16</v>
      </c>
      <c r="K32" s="10">
        <f>_xlfn.MINIFS(_xlfn.ANCHORARRAY($C$4),_xlfn.ANCHORARRAY($B$4),I32)</f>
        <v>0.06</v>
      </c>
      <c r="L32" s="10">
        <f>SUMIFS(_xlfn.ANCHORARRAY($C$4),_xlfn.ANCHORARRAY($B$4),I32)/J32</f>
        <v>0.12250000000000003</v>
      </c>
      <c r="M32" s="10">
        <f>_xlfn.MAXIFS(_xlfn.ANCHORARRAY($C$4),_xlfn.ANCHORARRAY($B$4),I32)</f>
        <v>0.32</v>
      </c>
      <c r="N32" s="10" cm="1">
        <f t="array" ref="N32">_xlfn.STDEV.S(_xlfn._xlws.FILTER(_xlfn.ANCHORARRAY($C$4),_xlfn.ANCHORARRAY($B$4)=I32))</f>
        <v>6.6483080554378626E-2</v>
      </c>
    </row>
    <row r="33" spans="1:14" x14ac:dyDescent="0.25">
      <c r="A33">
        <v>2</v>
      </c>
      <c r="B33" t="str">
        <v>ESTACION FLOR SILVESTRE</v>
      </c>
      <c r="C33">
        <v>1.7</v>
      </c>
      <c r="D33">
        <v>2024</v>
      </c>
      <c r="E33" s="61">
        <v>2022</v>
      </c>
      <c r="F33" s="61">
        <v>0.06</v>
      </c>
      <c r="H33" s="1">
        <v>2</v>
      </c>
      <c r="I33" t="str">
        <f t="shared" ref="I33:I35" si="4">VLOOKUP(H33,$A$4:$B$161,2)</f>
        <v>ESTACION FLOR SILVESTRE</v>
      </c>
      <c r="J33" s="46">
        <f t="shared" ref="J33:J35" si="5">COUNTIF(_xlfn.ANCHORARRAY($B$4),I33)</f>
        <v>16</v>
      </c>
      <c r="K33" s="10">
        <f t="shared" ref="K33:K35" si="6">_xlfn.MINIFS(_xlfn.ANCHORARRAY($C$4),_xlfn.ANCHORARRAY($B$4),I33)</f>
        <v>0.08</v>
      </c>
      <c r="L33" s="10">
        <f t="shared" ref="L33:L35" si="7">SUMIFS(_xlfn.ANCHORARRAY($C$4),_xlfn.ANCHORARRAY($B$4),I33)/J33</f>
        <v>0.45999999999999996</v>
      </c>
      <c r="M33" s="10">
        <f t="shared" ref="M33:M35" si="8">_xlfn.MAXIFS(_xlfn.ANCHORARRAY($C$4),_xlfn.ANCHORARRAY($B$4),I33)</f>
        <v>1.7</v>
      </c>
      <c r="N33" s="10" cm="1">
        <f t="array" ref="N33">_xlfn.STDEV.S(_xlfn._xlws.FILTER(_xlfn.ANCHORARRAY($C$4),_xlfn.ANCHORARRAY($B$4)=I33))</f>
        <v>0.50007999360102373</v>
      </c>
    </row>
    <row r="34" spans="1:14" x14ac:dyDescent="0.25">
      <c r="A34">
        <v>2</v>
      </c>
      <c r="B34" t="str">
        <v>ESTACION FLOR SILVESTRE</v>
      </c>
      <c r="C34">
        <v>0.16</v>
      </c>
      <c r="D34">
        <v>2024</v>
      </c>
      <c r="E34" s="61">
        <v>2022</v>
      </c>
      <c r="F34" s="61">
        <v>0.06</v>
      </c>
      <c r="H34" s="1">
        <v>3</v>
      </c>
      <c r="I34" t="str">
        <f t="shared" si="4"/>
        <v>ESTACION COLTEPUNTO</v>
      </c>
      <c r="J34" s="46">
        <f t="shared" si="5"/>
        <v>16</v>
      </c>
      <c r="K34" s="10">
        <f t="shared" si="6"/>
        <v>0.06</v>
      </c>
      <c r="L34" s="10">
        <f t="shared" si="7"/>
        <v>0.26500000000000001</v>
      </c>
      <c r="M34" s="10">
        <f t="shared" si="8"/>
        <v>1.7</v>
      </c>
      <c r="N34" s="10" cm="1">
        <f t="array" ref="N34">_xlfn.STDEV.S(_xlfn._xlws.FILTER(_xlfn.ANCHORARRAY($C$4),_xlfn.ANCHORARRAY($B$4)=I34))</f>
        <v>0.39533951653399546</v>
      </c>
    </row>
    <row r="35" spans="1:14" x14ac:dyDescent="0.25">
      <c r="A35">
        <v>2</v>
      </c>
      <c r="B35" t="str">
        <v>ESTACION FLOR SILVESTRE</v>
      </c>
      <c r="C35">
        <v>0.22</v>
      </c>
      <c r="D35">
        <v>2024</v>
      </c>
      <c r="E35" s="61">
        <v>2022</v>
      </c>
      <c r="F35" s="61">
        <v>0.68</v>
      </c>
      <c r="H35" s="1">
        <v>4</v>
      </c>
      <c r="I35" t="str">
        <f t="shared" si="4"/>
        <v>ESTACION PUENTE VIA EL TRANVIA</v>
      </c>
      <c r="J35" s="46">
        <f t="shared" si="5"/>
        <v>16</v>
      </c>
      <c r="K35" s="10">
        <f t="shared" si="6"/>
        <v>0.12</v>
      </c>
      <c r="L35" s="10">
        <f t="shared" si="7"/>
        <v>0.70124999999999993</v>
      </c>
      <c r="M35" s="10">
        <f t="shared" si="8"/>
        <v>1.76</v>
      </c>
      <c r="N35" s="10" cm="1">
        <f t="array" ref="N35">_xlfn.STDEV.S(_xlfn._xlws.FILTER(_xlfn.ANCHORARRAY($C$4),_xlfn.ANCHORARRAY($B$4)=I35))</f>
        <v>0.49556533373511924</v>
      </c>
    </row>
    <row r="36" spans="1:14" x14ac:dyDescent="0.25">
      <c r="A36">
        <v>3</v>
      </c>
      <c r="B36" t="str">
        <v>ESTACION COLTEPUNTO</v>
      </c>
      <c r="C36">
        <v>0.1</v>
      </c>
      <c r="D36">
        <v>2019</v>
      </c>
      <c r="E36" s="61">
        <v>2022</v>
      </c>
      <c r="F36" s="61">
        <v>0.08</v>
      </c>
      <c r="H36" s="1"/>
      <c r="J36" s="46"/>
      <c r="K36" s="10"/>
      <c r="L36" s="10"/>
      <c r="M36" s="10"/>
      <c r="N36" s="10"/>
    </row>
    <row r="37" spans="1:14" x14ac:dyDescent="0.25">
      <c r="A37">
        <v>3</v>
      </c>
      <c r="B37" t="str">
        <v>ESTACION COLTEPUNTO</v>
      </c>
      <c r="C37">
        <v>0.3</v>
      </c>
      <c r="D37">
        <v>2020</v>
      </c>
      <c r="E37" s="61">
        <v>2022</v>
      </c>
      <c r="F37" s="61">
        <v>0.18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COLTEPUNTO</v>
      </c>
      <c r="C38">
        <v>0.1</v>
      </c>
      <c r="D38">
        <v>2020</v>
      </c>
      <c r="E38" s="61">
        <v>2022</v>
      </c>
      <c r="F38" s="61">
        <v>0.24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COLTEPUNTO</v>
      </c>
      <c r="C39">
        <v>0.3</v>
      </c>
      <c r="D39">
        <v>2020</v>
      </c>
      <c r="E39" s="61">
        <v>2022</v>
      </c>
      <c r="F39" s="61">
        <v>0.06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COLTEPUNTO</v>
      </c>
      <c r="C40">
        <v>0.14000000000000001</v>
      </c>
      <c r="D40">
        <v>2021</v>
      </c>
      <c r="E40" s="61">
        <v>2022</v>
      </c>
      <c r="F40" s="61">
        <v>0.08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COLTEPUNTO</v>
      </c>
      <c r="C41">
        <v>0.4</v>
      </c>
      <c r="D41">
        <v>2021</v>
      </c>
      <c r="E41" s="61">
        <v>2022</v>
      </c>
      <c r="F41" s="61">
        <v>0.84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COLTEPUNTO</v>
      </c>
      <c r="C42">
        <v>0.2</v>
      </c>
      <c r="D42">
        <v>2021</v>
      </c>
      <c r="E42" s="61">
        <v>2022</v>
      </c>
      <c r="F42" s="61">
        <v>0.59</v>
      </c>
    </row>
    <row r="43" spans="1:14" x14ac:dyDescent="0.25">
      <c r="A43">
        <v>3</v>
      </c>
      <c r="B43" t="str">
        <v>ESTACION COLTEPUNTO</v>
      </c>
      <c r="C43">
        <v>0.24</v>
      </c>
      <c r="D43">
        <v>2022</v>
      </c>
      <c r="E43" s="61">
        <v>2022</v>
      </c>
      <c r="F43" s="61">
        <v>0.46</v>
      </c>
    </row>
    <row r="44" spans="1:14" x14ac:dyDescent="0.25">
      <c r="A44">
        <v>3</v>
      </c>
      <c r="B44" t="str">
        <v>ESTACION COLTEPUNTO</v>
      </c>
      <c r="C44">
        <v>0.06</v>
      </c>
      <c r="D44">
        <v>2022</v>
      </c>
      <c r="E44" s="61">
        <v>2023</v>
      </c>
      <c r="F44" s="61">
        <v>0.1</v>
      </c>
    </row>
    <row r="45" spans="1:14" x14ac:dyDescent="0.25">
      <c r="A45">
        <v>3</v>
      </c>
      <c r="B45" t="str">
        <v>ESTACION COLTEPUNTO</v>
      </c>
      <c r="C45">
        <v>0.08</v>
      </c>
      <c r="D45">
        <v>2022</v>
      </c>
      <c r="E45" s="61">
        <v>2023</v>
      </c>
      <c r="F45" s="61">
        <v>0.08</v>
      </c>
    </row>
    <row r="46" spans="1:14" x14ac:dyDescent="0.25">
      <c r="A46">
        <v>3</v>
      </c>
      <c r="B46" t="str">
        <v>ESTACION COLTEPUNTO</v>
      </c>
      <c r="C46">
        <v>0.1</v>
      </c>
      <c r="D46">
        <v>2023</v>
      </c>
      <c r="E46" s="61">
        <v>2023</v>
      </c>
      <c r="F46" s="61">
        <v>0.32</v>
      </c>
    </row>
    <row r="47" spans="1:14" x14ac:dyDescent="0.25">
      <c r="A47">
        <v>3</v>
      </c>
      <c r="B47" t="str">
        <v>ESTACION COLTEPUNTO</v>
      </c>
      <c r="C47">
        <v>0.14000000000000001</v>
      </c>
      <c r="D47">
        <v>2023</v>
      </c>
      <c r="E47" s="61">
        <v>2023</v>
      </c>
      <c r="F47" s="61">
        <v>1.42</v>
      </c>
    </row>
    <row r="48" spans="1:14" x14ac:dyDescent="0.25">
      <c r="A48">
        <v>3</v>
      </c>
      <c r="B48" t="str">
        <v>ESTACION COLTEPUNTO</v>
      </c>
      <c r="C48">
        <v>0.08</v>
      </c>
      <c r="D48">
        <v>2023</v>
      </c>
      <c r="E48" s="61">
        <v>2023</v>
      </c>
      <c r="F48" s="61">
        <v>0.64</v>
      </c>
    </row>
    <row r="49" spans="1:6" x14ac:dyDescent="0.25">
      <c r="A49">
        <v>3</v>
      </c>
      <c r="B49" t="str">
        <v>ESTACION COLTEPUNTO</v>
      </c>
      <c r="C49">
        <v>0.22</v>
      </c>
      <c r="D49">
        <v>2024</v>
      </c>
      <c r="E49" s="61">
        <v>2023</v>
      </c>
      <c r="F49" s="61">
        <v>0.14000000000000001</v>
      </c>
    </row>
    <row r="50" spans="1:6" x14ac:dyDescent="0.25">
      <c r="A50">
        <v>3</v>
      </c>
      <c r="B50" t="str">
        <v>ESTACION COLTEPUNTO</v>
      </c>
      <c r="C50">
        <v>0.08</v>
      </c>
      <c r="D50">
        <v>2024</v>
      </c>
      <c r="E50" s="61">
        <v>2023</v>
      </c>
      <c r="F50" s="61">
        <v>0.1</v>
      </c>
    </row>
    <row r="51" spans="1:6" x14ac:dyDescent="0.25">
      <c r="A51">
        <v>3</v>
      </c>
      <c r="B51" t="str">
        <v>ESTACION COLTEPUNTO</v>
      </c>
      <c r="C51">
        <v>1.7</v>
      </c>
      <c r="D51">
        <v>2024</v>
      </c>
      <c r="E51" s="61">
        <v>2023</v>
      </c>
      <c r="F51" s="61">
        <v>0.14000000000000001</v>
      </c>
    </row>
    <row r="52" spans="1:6" x14ac:dyDescent="0.25">
      <c r="A52">
        <v>4</v>
      </c>
      <c r="B52" t="str">
        <v>ESTACION PUENTE VIA EL TRANVIA</v>
      </c>
      <c r="C52">
        <v>0.5</v>
      </c>
      <c r="D52">
        <v>2019</v>
      </c>
      <c r="E52" s="61">
        <v>2023</v>
      </c>
      <c r="F52" s="61">
        <v>0.08</v>
      </c>
    </row>
    <row r="53" spans="1:6" x14ac:dyDescent="0.25">
      <c r="A53">
        <v>4</v>
      </c>
      <c r="B53" t="str">
        <v>ESTACION PUENTE VIA EL TRANVIA</v>
      </c>
      <c r="C53">
        <v>1.4</v>
      </c>
      <c r="D53">
        <v>2020</v>
      </c>
      <c r="E53" s="61">
        <v>2023</v>
      </c>
      <c r="F53" s="61">
        <v>1.76</v>
      </c>
    </row>
    <row r="54" spans="1:6" x14ac:dyDescent="0.25">
      <c r="A54">
        <v>4</v>
      </c>
      <c r="B54" t="str">
        <v>ESTACION PUENTE VIA EL TRANVIA</v>
      </c>
      <c r="C54">
        <v>0.2</v>
      </c>
      <c r="D54">
        <v>2020</v>
      </c>
      <c r="E54" s="61">
        <v>2023</v>
      </c>
      <c r="F54" s="61">
        <v>0.68</v>
      </c>
    </row>
    <row r="55" spans="1:6" x14ac:dyDescent="0.25">
      <c r="A55">
        <v>4</v>
      </c>
      <c r="B55" t="str">
        <v>ESTACION PUENTE VIA EL TRANVIA</v>
      </c>
      <c r="C55">
        <v>0.7</v>
      </c>
      <c r="D55">
        <v>2020</v>
      </c>
      <c r="E55" s="61">
        <v>2023</v>
      </c>
      <c r="F55" s="61">
        <v>0.36</v>
      </c>
    </row>
    <row r="56" spans="1:6" x14ac:dyDescent="0.25">
      <c r="A56">
        <v>4</v>
      </c>
      <c r="B56" t="str">
        <v>ESTACION PUENTE VIA EL TRANVIA</v>
      </c>
      <c r="C56">
        <v>1.57</v>
      </c>
      <c r="D56">
        <v>2021</v>
      </c>
      <c r="E56" s="61">
        <v>2024</v>
      </c>
      <c r="F56" s="61">
        <v>0.14000000000000001</v>
      </c>
    </row>
    <row r="57" spans="1:6" x14ac:dyDescent="0.25">
      <c r="A57">
        <v>4</v>
      </c>
      <c r="B57" t="str">
        <v>ESTACION PUENTE VIA EL TRANVIA</v>
      </c>
      <c r="C57">
        <v>0.2</v>
      </c>
      <c r="D57">
        <v>2021</v>
      </c>
      <c r="E57" s="61">
        <v>2024</v>
      </c>
      <c r="F57" s="61">
        <v>0.08</v>
      </c>
    </row>
    <row r="58" spans="1:6" x14ac:dyDescent="0.25">
      <c r="A58">
        <v>4</v>
      </c>
      <c r="B58" t="str">
        <v>ESTACION PUENTE VIA EL TRANVIA</v>
      </c>
      <c r="C58">
        <v>0.8</v>
      </c>
      <c r="D58">
        <v>2021</v>
      </c>
      <c r="E58" s="61">
        <v>2024</v>
      </c>
      <c r="F58" s="61">
        <v>0.1</v>
      </c>
    </row>
    <row r="59" spans="1:6" x14ac:dyDescent="0.25">
      <c r="A59">
        <v>4</v>
      </c>
      <c r="B59" t="str">
        <v>ESTACION PUENTE VIA EL TRANVIA</v>
      </c>
      <c r="C59">
        <v>0.84</v>
      </c>
      <c r="D59">
        <v>2022</v>
      </c>
      <c r="E59" s="61">
        <v>2024</v>
      </c>
      <c r="F59" s="61">
        <v>1.7</v>
      </c>
    </row>
    <row r="60" spans="1:6" x14ac:dyDescent="0.25">
      <c r="A60">
        <v>4</v>
      </c>
      <c r="B60" t="str">
        <v>ESTACION PUENTE VIA EL TRANVIA</v>
      </c>
      <c r="C60">
        <v>0.59</v>
      </c>
      <c r="D60">
        <v>2022</v>
      </c>
      <c r="E60" s="61">
        <v>2024</v>
      </c>
      <c r="F60" s="61">
        <v>0.16</v>
      </c>
    </row>
    <row r="61" spans="1:6" x14ac:dyDescent="0.25">
      <c r="A61">
        <v>4</v>
      </c>
      <c r="B61" t="str">
        <v>ESTACION PUENTE VIA EL TRANVIA</v>
      </c>
      <c r="C61">
        <v>0.46</v>
      </c>
      <c r="D61">
        <v>2022</v>
      </c>
      <c r="E61" s="61">
        <v>2024</v>
      </c>
      <c r="F61" s="61">
        <v>0.22</v>
      </c>
    </row>
    <row r="62" spans="1:6" x14ac:dyDescent="0.25">
      <c r="A62">
        <v>4</v>
      </c>
      <c r="B62" t="str">
        <v>ESTACION PUENTE VIA EL TRANVIA</v>
      </c>
      <c r="C62">
        <v>1.76</v>
      </c>
      <c r="D62">
        <v>2023</v>
      </c>
      <c r="E62" s="61">
        <v>2024</v>
      </c>
      <c r="F62" s="61">
        <v>0.22</v>
      </c>
    </row>
    <row r="63" spans="1:6" x14ac:dyDescent="0.25">
      <c r="A63">
        <v>4</v>
      </c>
      <c r="B63" t="str">
        <v>ESTACION PUENTE VIA EL TRANVIA</v>
      </c>
      <c r="C63">
        <v>0.68</v>
      </c>
      <c r="D63">
        <v>2023</v>
      </c>
      <c r="E63" s="61">
        <v>2024</v>
      </c>
      <c r="F63" s="61">
        <v>0.08</v>
      </c>
    </row>
    <row r="64" spans="1:6" x14ac:dyDescent="0.25">
      <c r="A64">
        <v>4</v>
      </c>
      <c r="B64" t="str">
        <v>ESTACION PUENTE VIA EL TRANVIA</v>
      </c>
      <c r="C64">
        <v>0.36</v>
      </c>
      <c r="D64">
        <v>2023</v>
      </c>
      <c r="E64" s="61">
        <v>2024</v>
      </c>
      <c r="F64" s="61">
        <v>1.7</v>
      </c>
    </row>
    <row r="65" spans="1:6" x14ac:dyDescent="0.25">
      <c r="A65">
        <v>4</v>
      </c>
      <c r="B65" t="str">
        <v>ESTACION PUENTE VIA EL TRANVIA</v>
      </c>
      <c r="C65">
        <v>0.8</v>
      </c>
      <c r="D65">
        <v>2024</v>
      </c>
      <c r="E65" s="61">
        <v>2024</v>
      </c>
      <c r="F65" s="61">
        <v>0.8</v>
      </c>
    </row>
    <row r="66" spans="1:6" x14ac:dyDescent="0.25">
      <c r="A66">
        <v>4</v>
      </c>
      <c r="B66" t="str">
        <v>ESTACION PUENTE VIA EL TRANVIA</v>
      </c>
      <c r="C66">
        <v>0.12</v>
      </c>
      <c r="D66">
        <v>2024</v>
      </c>
      <c r="E66" s="61">
        <v>2024</v>
      </c>
      <c r="F66" s="61">
        <v>0.12</v>
      </c>
    </row>
    <row r="67" spans="1:6" x14ac:dyDescent="0.25">
      <c r="A67">
        <v>4</v>
      </c>
      <c r="B67" t="str">
        <v>ESTACION PUENTE VIA EL TRANVIA</v>
      </c>
      <c r="C67">
        <v>0.24</v>
      </c>
      <c r="D67">
        <v>2024</v>
      </c>
      <c r="E67" s="61">
        <v>2024</v>
      </c>
      <c r="F67" s="61">
        <v>0.24</v>
      </c>
    </row>
    <row r="68" spans="1:6" x14ac:dyDescent="0.25">
      <c r="E68" s="61"/>
      <c r="F68" s="61"/>
    </row>
    <row r="69" spans="1:6" x14ac:dyDescent="0.25">
      <c r="E69" s="61"/>
      <c r="F69" s="61"/>
    </row>
    <row r="70" spans="1:6" x14ac:dyDescent="0.25">
      <c r="E70" s="61"/>
      <c r="F70" s="61"/>
    </row>
    <row r="71" spans="1:6" x14ac:dyDescent="0.25">
      <c r="E71" s="61"/>
      <c r="F71" s="61"/>
    </row>
    <row r="72" spans="1:6" x14ac:dyDescent="0.25">
      <c r="E72" s="61"/>
      <c r="F72" s="61"/>
    </row>
    <row r="73" spans="1:6" x14ac:dyDescent="0.25">
      <c r="E73" s="61"/>
      <c r="F73" s="61"/>
    </row>
    <row r="74" spans="1:6" x14ac:dyDescent="0.25">
      <c r="E74" s="61"/>
      <c r="F74" s="61"/>
    </row>
    <row r="75" spans="1:6" x14ac:dyDescent="0.25">
      <c r="E75" s="61"/>
      <c r="F75" s="61"/>
    </row>
    <row r="76" spans="1:6" x14ac:dyDescent="0.25">
      <c r="E76" s="61"/>
      <c r="F76" s="61"/>
    </row>
    <row r="77" spans="1:6" x14ac:dyDescent="0.25">
      <c r="E77" s="61"/>
      <c r="F77" s="61"/>
    </row>
    <row r="78" spans="1:6" x14ac:dyDescent="0.25">
      <c r="E78" s="61"/>
      <c r="F78" s="61"/>
    </row>
    <row r="79" spans="1:6" x14ac:dyDescent="0.25">
      <c r="E79" s="61"/>
      <c r="F79" s="61"/>
    </row>
    <row r="80" spans="1:6" x14ac:dyDescent="0.25">
      <c r="E80" s="61"/>
      <c r="F80" s="61"/>
    </row>
    <row r="81" spans="5:6" x14ac:dyDescent="0.25">
      <c r="E81" s="61"/>
      <c r="F81" s="61"/>
    </row>
    <row r="82" spans="5:6" x14ac:dyDescent="0.25">
      <c r="E82" s="61"/>
      <c r="F82" s="61"/>
    </row>
    <row r="83" spans="5:6" x14ac:dyDescent="0.25">
      <c r="E83" s="61"/>
      <c r="F83" s="61"/>
    </row>
    <row r="84" spans="5:6" x14ac:dyDescent="0.25">
      <c r="E84" s="61"/>
      <c r="F84" s="61"/>
    </row>
    <row r="85" spans="5:6" x14ac:dyDescent="0.25">
      <c r="E85" s="61"/>
      <c r="F85" s="61"/>
    </row>
    <row r="86" spans="5:6" x14ac:dyDescent="0.25">
      <c r="E86" s="61"/>
      <c r="F86" s="61"/>
    </row>
    <row r="87" spans="5:6" x14ac:dyDescent="0.25">
      <c r="E87" s="61"/>
      <c r="F87" s="61"/>
    </row>
    <row r="88" spans="5:6" x14ac:dyDescent="0.25">
      <c r="E88" s="61"/>
      <c r="F88" s="61"/>
    </row>
    <row r="89" spans="5:6" x14ac:dyDescent="0.25">
      <c r="E89" s="61"/>
      <c r="F89" s="61"/>
    </row>
    <row r="90" spans="5:6" x14ac:dyDescent="0.25">
      <c r="E90" s="61"/>
      <c r="F90" s="61"/>
    </row>
    <row r="91" spans="5:6" x14ac:dyDescent="0.25">
      <c r="E91" s="61"/>
      <c r="F91" s="61"/>
    </row>
    <row r="92" spans="5:6" x14ac:dyDescent="0.25">
      <c r="E92" s="61"/>
      <c r="F92" s="61"/>
    </row>
    <row r="93" spans="5:6" x14ac:dyDescent="0.25">
      <c r="E93" s="61"/>
      <c r="F93" s="61"/>
    </row>
    <row r="94" spans="5:6" x14ac:dyDescent="0.25">
      <c r="E94" s="61"/>
      <c r="F94" s="61"/>
    </row>
    <row r="95" spans="5:6" x14ac:dyDescent="0.25">
      <c r="E95" s="61"/>
      <c r="F95" s="61"/>
    </row>
    <row r="96" spans="5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67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9563F-A676-464A-8AEB-A84A24287FCE}">
  <sheetPr>
    <tabColor theme="4"/>
  </sheetPr>
  <dimension ref="A2:Y161"/>
  <sheetViews>
    <sheetView zoomScale="80" zoomScaleNormal="80" workbookViewId="0">
      <selection activeCell="V21" sqref="V21:Y28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103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λ=436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83">_xlfn._xlws.FILTER(CHOOSE(1,'Resultados historicos'!C:C,'Resultados historicos'!D:D,'Resultados historicos'!O:O,'Resultados historicos'!A:A),'Resultados historicos'!H:H=A2)</f>
        <v>1</v>
      </c>
      <c r="B4" t="str" cm="1">
        <f t="array" ref="B4:B83">_xlfn._xlws.FILTER(CHOOSE(2,'Resultados historicos'!C:C,'Resultados historicos'!D:D,'Resultados historicos'!O:O,'Resultados historicos'!A:A),'Resultados historicos'!H:H=A2)</f>
        <v>ROMERAL</v>
      </c>
      <c r="C4" cm="1">
        <f t="array" ref="C4:C83">_xlfn._xlws.FILTER(CHOOSE(3,'Resultados historicos'!C:C,'Resultados historicos'!D:D,'Resultados historicos'!O:O,'Resultados historicos'!A:A),'Resultados historicos'!H:H=A2)</f>
        <v>0.46</v>
      </c>
      <c r="D4" cm="1">
        <f t="array" ref="D4:D83">_xlfn._xlws.FILTER(CHOOSE(4,'Resultados historicos'!C:C,'Resultados historicos'!D:D,'Resultados historicos'!O:O,'Resultados historicos'!A:A),'Resultados historicos'!H:H=A2)</f>
        <v>2024</v>
      </c>
      <c r="E4" s="61">
        <v>2019</v>
      </c>
      <c r="F4" s="61">
        <v>0.3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ROMERAL</v>
      </c>
      <c r="C5">
        <v>0.24</v>
      </c>
      <c r="D5">
        <v>2024</v>
      </c>
      <c r="E5" s="61">
        <v>2019</v>
      </c>
      <c r="F5" s="61">
        <v>0.4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ROMERAL</v>
      </c>
      <c r="C6">
        <v>0.64</v>
      </c>
      <c r="D6">
        <v>2024</v>
      </c>
      <c r="E6" s="61">
        <v>2019</v>
      </c>
      <c r="F6" s="61">
        <v>0.6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ROMERAL</v>
      </c>
      <c r="C7">
        <v>0.5</v>
      </c>
      <c r="D7">
        <v>2021</v>
      </c>
      <c r="E7" s="61">
        <v>2019</v>
      </c>
      <c r="F7" s="61">
        <v>0.5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ROMERAL</v>
      </c>
      <c r="C8">
        <v>0.3</v>
      </c>
      <c r="D8">
        <v>2019</v>
      </c>
      <c r="E8" s="61">
        <v>2019</v>
      </c>
      <c r="F8" s="61">
        <v>1.4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ROMERAL</v>
      </c>
      <c r="C9">
        <v>0.5</v>
      </c>
      <c r="D9">
        <v>2020</v>
      </c>
      <c r="E9" s="61">
        <v>2020</v>
      </c>
      <c r="F9" s="61">
        <v>0.5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ROMERAL</v>
      </c>
      <c r="C10">
        <v>0.5</v>
      </c>
      <c r="D10">
        <v>2020</v>
      </c>
      <c r="E10" s="61">
        <v>2020</v>
      </c>
      <c r="F10" s="61">
        <v>0.5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ROMERAL</v>
      </c>
      <c r="C11">
        <v>0.7</v>
      </c>
      <c r="D11">
        <v>2020</v>
      </c>
      <c r="E11" s="61">
        <v>2020</v>
      </c>
      <c r="F11" s="61">
        <v>0.7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ROMERAL</v>
      </c>
      <c r="C12">
        <v>0.38</v>
      </c>
      <c r="D12">
        <v>2021</v>
      </c>
      <c r="E12" s="61">
        <v>2020</v>
      </c>
      <c r="F12" s="61">
        <v>0.5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ROMERAL</v>
      </c>
      <c r="C13">
        <v>0.8</v>
      </c>
      <c r="D13">
        <v>2021</v>
      </c>
      <c r="E13" s="61">
        <v>2020</v>
      </c>
      <c r="F13" s="61">
        <v>0.5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ROMERAL</v>
      </c>
      <c r="C14">
        <v>0.36</v>
      </c>
      <c r="D14">
        <v>2022</v>
      </c>
      <c r="E14" s="61">
        <v>2020</v>
      </c>
      <c r="F14" s="61">
        <v>0.6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ROMERAL</v>
      </c>
      <c r="C15">
        <v>0.32</v>
      </c>
      <c r="D15">
        <v>2022</v>
      </c>
      <c r="E15" s="61">
        <v>2020</v>
      </c>
      <c r="F15" s="61">
        <v>1.5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ROMERAL</v>
      </c>
      <c r="C16">
        <v>0.46</v>
      </c>
      <c r="D16">
        <v>2022</v>
      </c>
      <c r="E16" s="61">
        <v>2020</v>
      </c>
      <c r="F16" s="61">
        <v>0.6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ROMERAL</v>
      </c>
      <c r="C17">
        <v>0.32</v>
      </c>
      <c r="D17">
        <v>2023</v>
      </c>
      <c r="E17" s="61">
        <v>2020</v>
      </c>
      <c r="F17" s="61">
        <v>0.8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ROMERAL</v>
      </c>
      <c r="C18">
        <v>0.3</v>
      </c>
      <c r="D18">
        <v>2023</v>
      </c>
      <c r="E18" s="61">
        <v>2020</v>
      </c>
      <c r="F18" s="61">
        <v>0.8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ROMERAL</v>
      </c>
      <c r="C19">
        <v>0.24</v>
      </c>
      <c r="D19">
        <v>2023</v>
      </c>
      <c r="E19" s="61">
        <v>2020</v>
      </c>
      <c r="F19" s="61">
        <v>0.8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PUENTE MOLINO</v>
      </c>
      <c r="C20">
        <v>0.6</v>
      </c>
      <c r="D20">
        <v>2021</v>
      </c>
      <c r="E20" s="61">
        <v>2020</v>
      </c>
      <c r="F20" s="61">
        <v>0.6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PUENTE MOLINO</v>
      </c>
      <c r="C21">
        <v>0.4</v>
      </c>
      <c r="D21">
        <v>2019</v>
      </c>
      <c r="E21" s="61">
        <v>2020</v>
      </c>
      <c r="F21" s="61">
        <v>1.5</v>
      </c>
      <c r="H21" s="131"/>
      <c r="I21" s="131"/>
      <c r="J21" s="131"/>
      <c r="K21" s="131"/>
      <c r="L21" s="131"/>
      <c r="M21" s="131"/>
      <c r="N21" s="131"/>
      <c r="O21" s="133" t="str">
        <f>H30</f>
        <v>λ=436 (m⁻¹)</v>
      </c>
      <c r="P21" s="133"/>
      <c r="Q21" s="133"/>
      <c r="R21" s="133"/>
      <c r="S21" s="133"/>
      <c r="T21" s="133"/>
      <c r="W21" s="134" t="str">
        <f>O21</f>
        <v>λ=436 (m⁻¹)</v>
      </c>
      <c r="X21" s="134"/>
      <c r="Y21" s="134"/>
    </row>
    <row r="22" spans="1:25" x14ac:dyDescent="0.25">
      <c r="A22">
        <v>2</v>
      </c>
      <c r="B22" t="str">
        <v>ESTACION PUENTE MOLINO</v>
      </c>
      <c r="C22">
        <v>0.5</v>
      </c>
      <c r="D22">
        <v>2020</v>
      </c>
      <c r="E22" s="61">
        <v>2020</v>
      </c>
      <c r="F22" s="61">
        <v>1.1000000000000001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PUENTE MOLINO</v>
      </c>
      <c r="C23">
        <v>0.5</v>
      </c>
      <c r="D23">
        <v>2020</v>
      </c>
      <c r="E23" s="61">
        <v>2020</v>
      </c>
      <c r="F23" s="61">
        <v>0.8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5</v>
      </c>
      <c r="Q23" s="10">
        <f t="shared" ref="Q23:Q28" si="1">_xlfn.MINIFS(_xlfn.ANCHORARRAY($C$4),_xlfn.ANCHORARRAY($D$4),O23)</f>
        <v>0.3</v>
      </c>
      <c r="R23" s="10">
        <f t="shared" ref="R23:R28" si="2">SUMIFS(_xlfn.ANCHORARRAY($C$4),_xlfn.ANCHORARRAY($D$4),O23)/P23</f>
        <v>0.6399999999999999</v>
      </c>
      <c r="S23" s="10">
        <f t="shared" ref="S23:S28" si="3">_xlfn.MAXIFS(_xlfn.ANCHORARRAY($C$4),_xlfn.ANCHORARRAY($D$4),O23)</f>
        <v>1.4</v>
      </c>
      <c r="T23" s="10" cm="1">
        <f t="array" ref="T23">_xlfn.STDEV.S(_xlfn._xlws.FILTER(_xlfn.ANCHORARRAY($C$4),_xlfn.ANCHORARRAY($D$4)=O23))</f>
        <v>0.43931765272977602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PUENTE MOLINO</v>
      </c>
      <c r="C24">
        <v>0.6</v>
      </c>
      <c r="D24">
        <v>2020</v>
      </c>
      <c r="E24" s="61">
        <v>2021</v>
      </c>
      <c r="F24" s="61">
        <v>0.5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15</v>
      </c>
      <c r="Q24" s="10">
        <f t="shared" si="1"/>
        <v>0.5</v>
      </c>
      <c r="R24" s="10">
        <f t="shared" si="2"/>
        <v>0.78666666666666674</v>
      </c>
      <c r="S24" s="10">
        <f t="shared" si="3"/>
        <v>1.5</v>
      </c>
      <c r="T24" s="10" cm="1">
        <f t="array" ref="T24">_xlfn.STDEV.S(_xlfn._xlws.FILTER(_xlfn.ANCHORARRAY($C$4),_xlfn.ANCHORARRAY($D$4)=O24))</f>
        <v>0.33352375513311705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PUENTE MOLINO</v>
      </c>
      <c r="C25">
        <v>0.32</v>
      </c>
      <c r="D25">
        <v>2021</v>
      </c>
      <c r="E25" s="61">
        <v>2021</v>
      </c>
      <c r="F25" s="61">
        <v>0.38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15</v>
      </c>
      <c r="Q25" s="10">
        <f t="shared" si="1"/>
        <v>0.32</v>
      </c>
      <c r="R25" s="10">
        <f t="shared" si="2"/>
        <v>0.68800000000000006</v>
      </c>
      <c r="S25" s="10">
        <f t="shared" si="3"/>
        <v>1.3</v>
      </c>
      <c r="T25" s="10" cm="1">
        <f t="array" ref="T25">_xlfn.STDEV.S(_xlfn._xlws.FILTER(_xlfn.ANCHORARRAY($C$4),_xlfn.ANCHORARRAY($D$4)=O25))</f>
        <v>0.28693453708368494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PUENTE MOLINO</v>
      </c>
      <c r="C26">
        <v>0.68</v>
      </c>
      <c r="D26">
        <v>2021</v>
      </c>
      <c r="E26" s="61">
        <v>2021</v>
      </c>
      <c r="F26" s="61">
        <v>0.8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15</v>
      </c>
      <c r="Q26" s="10">
        <f t="shared" si="1"/>
        <v>0.32</v>
      </c>
      <c r="R26" s="10">
        <f t="shared" si="2"/>
        <v>0.57733333333333337</v>
      </c>
      <c r="S26" s="10">
        <f t="shared" si="3"/>
        <v>1.56</v>
      </c>
      <c r="T26" s="10" cm="1">
        <f t="array" ref="T26">_xlfn.STDEV.S(_xlfn._xlws.FILTER(_xlfn.ANCHORARRAY($C$4),_xlfn.ANCHORARRAY($D$4)=O26))</f>
        <v>0.30732641248276049</v>
      </c>
      <c r="V26" t="s">
        <v>565</v>
      </c>
      <c r="W26" s="1" t="str">
        <f>TEXT(R29,"0,00")&amp;" ± "&amp;TEXT((W25*T29/SQRT(P29)),"0,00")</f>
        <v>0,69 ± 0,09</v>
      </c>
      <c r="X26" s="1" t="str">
        <f>TEXT(R29,"0,00")&amp;" ± "&amp;TEXT((X25*T29/SQRT(P29)),"0,00")</f>
        <v>0,69 ± 0,11</v>
      </c>
      <c r="Y26" s="1" t="str">
        <f>TEXT(R29,"0,00")&amp;" ± "&amp;TEXT((Y25*T29/SQRT(P29)),"0,00")</f>
        <v>0,69 ± 0,14</v>
      </c>
    </row>
    <row r="27" spans="1:25" x14ac:dyDescent="0.25">
      <c r="A27">
        <v>2</v>
      </c>
      <c r="B27" t="str">
        <v>ESTACION PUENTE MOLINO</v>
      </c>
      <c r="C27">
        <v>0.42</v>
      </c>
      <c r="D27">
        <v>2022</v>
      </c>
      <c r="E27" s="61">
        <v>2021</v>
      </c>
      <c r="F27" s="61">
        <v>0.6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15</v>
      </c>
      <c r="Q27" s="10">
        <f t="shared" si="1"/>
        <v>0.16</v>
      </c>
      <c r="R27" s="10">
        <f t="shared" si="2"/>
        <v>0.37333333333333335</v>
      </c>
      <c r="S27" s="10">
        <f t="shared" si="3"/>
        <v>0.68</v>
      </c>
      <c r="T27" s="10" cm="1">
        <f t="array" ref="T27">_xlfn.STDEV.S(_xlfn._xlws.FILTER(_xlfn.ANCHORARRAY($C$4),_xlfn.ANCHORARRAY($D$4)=O27))</f>
        <v>0.19297174725356878</v>
      </c>
      <c r="V27" t="s">
        <v>566</v>
      </c>
      <c r="W27" s="10">
        <f>R29-(W25*T29/SQRT(P29))</f>
        <v>0.60370227533624399</v>
      </c>
      <c r="X27" s="10">
        <f>R29-(X25*T29/SQRT(P29))</f>
        <v>0.58635573128508123</v>
      </c>
      <c r="Y27" s="10">
        <f>R29-(Y25*T29/SQRT(P29))</f>
        <v>0.55245289493427296</v>
      </c>
    </row>
    <row r="28" spans="1:25" x14ac:dyDescent="0.25">
      <c r="A28">
        <v>2</v>
      </c>
      <c r="B28" t="str">
        <v>ESTACION PUENTE MOLINO</v>
      </c>
      <c r="C28">
        <v>0.78</v>
      </c>
      <c r="D28">
        <v>2022</v>
      </c>
      <c r="E28" s="61">
        <v>2021</v>
      </c>
      <c r="F28" s="61">
        <v>0.32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15</v>
      </c>
      <c r="Q28" s="10">
        <f t="shared" si="1"/>
        <v>0.24</v>
      </c>
      <c r="R28" s="10">
        <f t="shared" si="2"/>
        <v>1.0640000000000001</v>
      </c>
      <c r="S28" s="10">
        <f t="shared" si="3"/>
        <v>2.98</v>
      </c>
      <c r="T28" s="10" cm="1">
        <f t="array" ref="T28">_xlfn.STDEV.S(_xlfn._xlws.FILTER(_xlfn.ANCHORARRAY($C$4),_xlfn.ANCHORARRAY($D$4)=O28))</f>
        <v>0.84017685213122995</v>
      </c>
      <c r="V28" t="s">
        <v>567</v>
      </c>
      <c r="W28" s="10">
        <f>R29+(W25*T29/SQRT(P29))</f>
        <v>0.78479772466375586</v>
      </c>
      <c r="X28" s="10">
        <f>R29+(X25*T29/SQRT(P29))</f>
        <v>0.80214426871491862</v>
      </c>
      <c r="Y28" s="10">
        <f>R29+(Y25*T29/SQRT(P29))</f>
        <v>0.83604710506572688</v>
      </c>
    </row>
    <row r="29" spans="1:25" x14ac:dyDescent="0.25">
      <c r="A29">
        <v>2</v>
      </c>
      <c r="B29" t="str">
        <v>ESTACION PUENTE MOLINO</v>
      </c>
      <c r="C29">
        <v>0.64</v>
      </c>
      <c r="D29">
        <v>2022</v>
      </c>
      <c r="E29" s="61">
        <v>2021</v>
      </c>
      <c r="F29" s="61">
        <v>0.68</v>
      </c>
      <c r="O29" t="s">
        <v>568</v>
      </c>
      <c r="P29" s="1">
        <f>SUM(P23:P28)</f>
        <v>80</v>
      </c>
      <c r="R29" s="10">
        <f>AVERAGE(_xlfn.ANCHORARRAY(C4))</f>
        <v>0.69424999999999992</v>
      </c>
      <c r="T29" s="10">
        <f>_xlfn.STDEV.S(_xlfn.ANCHORARRAY(C4))</f>
        <v>0.49237418877531786</v>
      </c>
    </row>
    <row r="30" spans="1:25" x14ac:dyDescent="0.25">
      <c r="A30">
        <v>2</v>
      </c>
      <c r="B30" t="str">
        <v>ESTACION PUENTE MOLINO</v>
      </c>
      <c r="C30">
        <v>0.24</v>
      </c>
      <c r="D30">
        <v>2023</v>
      </c>
      <c r="E30" s="61">
        <v>2021</v>
      </c>
      <c r="F30" s="61">
        <v>0.4</v>
      </c>
      <c r="H30" s="133" t="str">
        <f>'Estadistico resumen'!$G$1</f>
        <v>λ=436 (m⁻¹)</v>
      </c>
      <c r="I30" s="133"/>
      <c r="J30" s="133"/>
      <c r="K30" s="133"/>
      <c r="L30" s="133"/>
      <c r="M30" s="133"/>
      <c r="N30" s="133"/>
    </row>
    <row r="31" spans="1:25" x14ac:dyDescent="0.25">
      <c r="A31">
        <v>2</v>
      </c>
      <c r="B31" t="str">
        <v>ESTACION PUENTE MOLINO</v>
      </c>
      <c r="C31">
        <v>0.28000000000000003</v>
      </c>
      <c r="D31">
        <v>2023</v>
      </c>
      <c r="E31" s="61">
        <v>2021</v>
      </c>
      <c r="F31" s="61">
        <v>0.7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PUENTE MOLINO</v>
      </c>
      <c r="C32">
        <v>0.24</v>
      </c>
      <c r="D32">
        <v>2023</v>
      </c>
      <c r="E32" s="61">
        <v>2021</v>
      </c>
      <c r="F32" s="61">
        <v>1.1000000000000001</v>
      </c>
      <c r="H32" s="1" cm="1">
        <f t="array" ref="H32:H36">_xlfn._xlws.SORT(_xlfn.UNIQUE(_xlfn.ANCHORARRAY(A4)))</f>
        <v>1</v>
      </c>
      <c r="I32" t="str">
        <f>IFERROR(VLOOKUP(H32,$A$4:$B$161,2),"")</f>
        <v>ROMERAL</v>
      </c>
      <c r="J32" s="46">
        <f>COUNTIF(_xlfn.ANCHORARRAY($B$4),I32)</f>
        <v>16</v>
      </c>
      <c r="K32" s="10">
        <f>_xlfn.MINIFS(_xlfn.ANCHORARRAY($C$4),_xlfn.ANCHORARRAY($B$4),I32)</f>
        <v>0.24</v>
      </c>
      <c r="L32" s="10">
        <f>SUMIFS(_xlfn.ANCHORARRAY($C$4),_xlfn.ANCHORARRAY($B$4),I32)/J32</f>
        <v>0.43875000000000003</v>
      </c>
      <c r="M32" s="10">
        <f>_xlfn.MAXIFS(_xlfn.ANCHORARRAY($C$4),_xlfn.ANCHORARRAY($B$4),I32)</f>
        <v>0.8</v>
      </c>
      <c r="N32" s="10" cm="1">
        <f t="array" ref="N32">_xlfn.STDEV.S(_xlfn._xlws.FILTER(_xlfn.ANCHORARRAY($C$4),_xlfn.ANCHORARRAY($B$4)=I32))</f>
        <v>0.16467645045158477</v>
      </c>
    </row>
    <row r="33" spans="1:14" x14ac:dyDescent="0.25">
      <c r="A33">
        <v>2</v>
      </c>
      <c r="B33" t="str">
        <v>ESTACION PUENTE MOLINO</v>
      </c>
      <c r="C33">
        <v>0.57999999999999996</v>
      </c>
      <c r="D33">
        <v>2024</v>
      </c>
      <c r="E33" s="61">
        <v>2021</v>
      </c>
      <c r="F33" s="61">
        <v>0.4</v>
      </c>
      <c r="H33" s="1">
        <v>2</v>
      </c>
      <c r="I33" t="str">
        <f t="shared" ref="I33:I36" si="4">VLOOKUP(H33,$A$4:$B$161,2)</f>
        <v>ESTACION PUENTE MOLINO</v>
      </c>
      <c r="J33" s="46">
        <f t="shared" ref="J33:J36" si="5">COUNTIF(_xlfn.ANCHORARRAY($B$4),I33)</f>
        <v>16</v>
      </c>
      <c r="K33" s="10">
        <f t="shared" ref="K33:K35" si="6">_xlfn.MINIFS(_xlfn.ANCHORARRAY($C$4),_xlfn.ANCHORARRAY($B$4),I33)</f>
        <v>0.24</v>
      </c>
      <c r="L33" s="10">
        <f t="shared" ref="L33:L35" si="7">SUMIFS(_xlfn.ANCHORARRAY($C$4),_xlfn.ANCHORARRAY($B$4),I33)/J33</f>
        <v>0.47375000000000012</v>
      </c>
      <c r="M33" s="10">
        <f t="shared" ref="M33:M35" si="8">_xlfn.MAXIFS(_xlfn.ANCHORARRAY($C$4),_xlfn.ANCHORARRAY($B$4),I33)</f>
        <v>0.78</v>
      </c>
      <c r="N33" s="10" cm="1">
        <f t="array" ref="N33">_xlfn.STDEV.S(_xlfn._xlws.FILTER(_xlfn.ANCHORARRAY($C$4),_xlfn.ANCHORARRAY($B$4)=I33))</f>
        <v>0.16357974609753242</v>
      </c>
    </row>
    <row r="34" spans="1:14" x14ac:dyDescent="0.25">
      <c r="A34">
        <v>2</v>
      </c>
      <c r="B34" t="str">
        <v>ESTACION PUENTE MOLINO</v>
      </c>
      <c r="C34">
        <v>0.44</v>
      </c>
      <c r="D34">
        <v>2024</v>
      </c>
      <c r="E34" s="61">
        <v>2021</v>
      </c>
      <c r="F34" s="61">
        <v>0.56000000000000005</v>
      </c>
      <c r="H34" s="1">
        <v>3</v>
      </c>
      <c r="I34" t="str">
        <f t="shared" si="4"/>
        <v>ESTACION BOX COULVERT KM 24</v>
      </c>
      <c r="J34" s="46">
        <f t="shared" si="5"/>
        <v>16</v>
      </c>
      <c r="K34" s="10">
        <f t="shared" si="6"/>
        <v>0.2</v>
      </c>
      <c r="L34" s="10">
        <f t="shared" si="7"/>
        <v>0.84250000000000003</v>
      </c>
      <c r="M34" s="10">
        <f t="shared" si="8"/>
        <v>2.52</v>
      </c>
      <c r="N34" s="10" cm="1">
        <f t="array" ref="N34">_xlfn.STDEV.S(_xlfn._xlws.FILTER(_xlfn.ANCHORARRAY($C$4),_xlfn.ANCHORARRAY($B$4)=I34))</f>
        <v>0.62014514430091272</v>
      </c>
    </row>
    <row r="35" spans="1:14" x14ac:dyDescent="0.25">
      <c r="A35">
        <v>2</v>
      </c>
      <c r="B35" t="str">
        <v>ESTACION PUENTE MOLINO</v>
      </c>
      <c r="C35">
        <v>0.36</v>
      </c>
      <c r="D35">
        <v>2024</v>
      </c>
      <c r="E35" s="61">
        <v>2021</v>
      </c>
      <c r="F35" s="61">
        <v>1.02</v>
      </c>
      <c r="H35" s="1">
        <v>4</v>
      </c>
      <c r="I35" t="str">
        <f t="shared" si="4"/>
        <v>OMYA</v>
      </c>
      <c r="J35" s="46">
        <f t="shared" si="5"/>
        <v>16</v>
      </c>
      <c r="K35" s="10">
        <f t="shared" si="6"/>
        <v>0.16</v>
      </c>
      <c r="L35" s="10">
        <f t="shared" si="7"/>
        <v>0.61499999999999999</v>
      </c>
      <c r="M35" s="10">
        <f t="shared" si="8"/>
        <v>1.02</v>
      </c>
      <c r="N35" s="10" cm="1">
        <f t="array" ref="N35">_xlfn.STDEV.S(_xlfn._xlws.FILTER(_xlfn.ANCHORARRAY($C$4),_xlfn.ANCHORARRAY($B$4)=I35))</f>
        <v>0.24292660071168276</v>
      </c>
    </row>
    <row r="36" spans="1:14" x14ac:dyDescent="0.25">
      <c r="A36">
        <v>3</v>
      </c>
      <c r="B36" t="str">
        <v>ESTACION BOX COULVERT KM 24</v>
      </c>
      <c r="C36">
        <v>0.4</v>
      </c>
      <c r="D36">
        <v>2021</v>
      </c>
      <c r="E36" s="61">
        <v>2021</v>
      </c>
      <c r="F36" s="61">
        <v>0.7</v>
      </c>
      <c r="H36" s="1">
        <v>5</v>
      </c>
      <c r="I36" t="str">
        <f t="shared" si="4"/>
        <v>ESTACION RIOTEX</v>
      </c>
      <c r="J36" s="46">
        <f t="shared" si="5"/>
        <v>16</v>
      </c>
      <c r="K36" s="10">
        <f t="shared" ref="K36" si="9">_xlfn.MINIFS(_xlfn.ANCHORARRAY($C$4),_xlfn.ANCHORARRAY($B$4),I36)</f>
        <v>0.18</v>
      </c>
      <c r="L36" s="10">
        <f t="shared" ref="L36" si="10">SUMIFS(_xlfn.ANCHORARRAY($C$4),_xlfn.ANCHORARRAY($B$4),I36)/J36</f>
        <v>1.1012500000000001</v>
      </c>
      <c r="M36" s="10">
        <f t="shared" ref="M36" si="11">_xlfn.MAXIFS(_xlfn.ANCHORARRAY($C$4),_xlfn.ANCHORARRAY($B$4),I36)</f>
        <v>2.98</v>
      </c>
      <c r="N36" s="10" cm="1">
        <f t="array" ref="N36">_xlfn.STDEV.S(_xlfn._xlws.FILTER(_xlfn.ANCHORARRAY($C$4),_xlfn.ANCHORARRAY($B$4)=I36))</f>
        <v>0.67157402173302283</v>
      </c>
    </row>
    <row r="37" spans="1:14" x14ac:dyDescent="0.25">
      <c r="A37">
        <v>3</v>
      </c>
      <c r="B37" t="str">
        <v>ESTACION BOX COULVERT KM 24</v>
      </c>
      <c r="C37">
        <v>0.6</v>
      </c>
      <c r="D37">
        <v>2019</v>
      </c>
      <c r="E37" s="61">
        <v>2021</v>
      </c>
      <c r="F37" s="61">
        <v>0.86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BOX COULVERT KM 24</v>
      </c>
      <c r="C38">
        <v>1.5</v>
      </c>
      <c r="D38">
        <v>2020</v>
      </c>
      <c r="E38" s="61">
        <v>2021</v>
      </c>
      <c r="F38" s="61">
        <v>1.3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BOX COULVERT KM 24</v>
      </c>
      <c r="C39">
        <v>0.6</v>
      </c>
      <c r="D39">
        <v>2020</v>
      </c>
      <c r="E39" s="61">
        <v>2022</v>
      </c>
      <c r="F39" s="61">
        <v>0.36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BOX COULVERT KM 24</v>
      </c>
      <c r="C40">
        <v>0.8</v>
      </c>
      <c r="D40">
        <v>2020</v>
      </c>
      <c r="E40" s="61">
        <v>2022</v>
      </c>
      <c r="F40" s="61">
        <v>0.32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BOX COULVERT KM 24</v>
      </c>
      <c r="C41">
        <v>0.7</v>
      </c>
      <c r="D41">
        <v>2021</v>
      </c>
      <c r="E41" s="61">
        <v>2022</v>
      </c>
      <c r="F41" s="61">
        <v>0.46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BOX COULVERT KM 24</v>
      </c>
      <c r="C42">
        <v>1.1000000000000001</v>
      </c>
      <c r="D42">
        <v>2021</v>
      </c>
      <c r="E42" s="61">
        <v>2022</v>
      </c>
      <c r="F42" s="61">
        <v>0.42</v>
      </c>
    </row>
    <row r="43" spans="1:14" x14ac:dyDescent="0.25">
      <c r="A43">
        <v>3</v>
      </c>
      <c r="B43" t="str">
        <v>ESTACION BOX COULVERT KM 24</v>
      </c>
      <c r="C43">
        <v>0.66</v>
      </c>
      <c r="D43">
        <v>2022</v>
      </c>
      <c r="E43" s="61">
        <v>2022</v>
      </c>
      <c r="F43" s="61">
        <v>0.78</v>
      </c>
    </row>
    <row r="44" spans="1:14" x14ac:dyDescent="0.25">
      <c r="A44">
        <v>3</v>
      </c>
      <c r="B44" t="str">
        <v>ESTACION BOX COULVERT KM 24</v>
      </c>
      <c r="C44">
        <v>0.48</v>
      </c>
      <c r="D44">
        <v>2022</v>
      </c>
      <c r="E44" s="61">
        <v>2022</v>
      </c>
      <c r="F44" s="61">
        <v>0.64</v>
      </c>
    </row>
    <row r="45" spans="1:14" x14ac:dyDescent="0.25">
      <c r="A45">
        <v>3</v>
      </c>
      <c r="B45" t="str">
        <v>ESTACION BOX COULVERT KM 24</v>
      </c>
      <c r="C45">
        <v>0.44</v>
      </c>
      <c r="D45">
        <v>2022</v>
      </c>
      <c r="E45" s="61">
        <v>2022</v>
      </c>
      <c r="F45" s="61">
        <v>0.66</v>
      </c>
    </row>
    <row r="46" spans="1:14" x14ac:dyDescent="0.25">
      <c r="A46">
        <v>3</v>
      </c>
      <c r="B46" t="str">
        <v>ESTACION BOX COULVERT KM 24</v>
      </c>
      <c r="C46">
        <v>0.64</v>
      </c>
      <c r="D46">
        <v>2023</v>
      </c>
      <c r="E46" s="61">
        <v>2022</v>
      </c>
      <c r="F46" s="61">
        <v>0.48</v>
      </c>
    </row>
    <row r="47" spans="1:14" x14ac:dyDescent="0.25">
      <c r="A47">
        <v>3</v>
      </c>
      <c r="B47" t="str">
        <v>ESTACION BOX COULVERT KM 24</v>
      </c>
      <c r="C47">
        <v>0.46</v>
      </c>
      <c r="D47">
        <v>2023</v>
      </c>
      <c r="E47" s="61">
        <v>2022</v>
      </c>
      <c r="F47" s="61">
        <v>0.44</v>
      </c>
    </row>
    <row r="48" spans="1:14" x14ac:dyDescent="0.25">
      <c r="A48">
        <v>3</v>
      </c>
      <c r="B48" t="str">
        <v>ESTACION BOX COULVERT KM 24</v>
      </c>
      <c r="C48">
        <v>0.2</v>
      </c>
      <c r="D48">
        <v>2023</v>
      </c>
      <c r="E48" s="61">
        <v>2022</v>
      </c>
      <c r="F48" s="61">
        <v>0.66</v>
      </c>
    </row>
    <row r="49" spans="1:6" x14ac:dyDescent="0.25">
      <c r="A49">
        <v>3</v>
      </c>
      <c r="B49" t="str">
        <v>ESTACION BOX COULVERT KM 24</v>
      </c>
      <c r="C49">
        <v>2.52</v>
      </c>
      <c r="D49">
        <v>2024</v>
      </c>
      <c r="E49" s="61">
        <v>2022</v>
      </c>
      <c r="F49" s="61">
        <v>0.32</v>
      </c>
    </row>
    <row r="50" spans="1:6" x14ac:dyDescent="0.25">
      <c r="A50">
        <v>3</v>
      </c>
      <c r="B50" t="str">
        <v>ESTACION BOX COULVERT KM 24</v>
      </c>
      <c r="C50">
        <v>0.5</v>
      </c>
      <c r="D50">
        <v>2024</v>
      </c>
      <c r="E50" s="61">
        <v>2022</v>
      </c>
      <c r="F50" s="61">
        <v>0.64</v>
      </c>
    </row>
    <row r="51" spans="1:6" x14ac:dyDescent="0.25">
      <c r="A51">
        <v>3</v>
      </c>
      <c r="B51" t="str">
        <v>ESTACION BOX COULVERT KM 24</v>
      </c>
      <c r="C51">
        <v>1.88</v>
      </c>
      <c r="D51">
        <v>2024</v>
      </c>
      <c r="E51" s="61">
        <v>2022</v>
      </c>
      <c r="F51" s="61">
        <v>1.56</v>
      </c>
    </row>
    <row r="52" spans="1:6" x14ac:dyDescent="0.25">
      <c r="A52">
        <v>4</v>
      </c>
      <c r="B52" t="str">
        <v>OMYA</v>
      </c>
      <c r="C52">
        <v>0.4</v>
      </c>
      <c r="D52">
        <v>2021</v>
      </c>
      <c r="E52" s="61">
        <v>2022</v>
      </c>
      <c r="F52" s="61">
        <v>0.36</v>
      </c>
    </row>
    <row r="53" spans="1:6" x14ac:dyDescent="0.25">
      <c r="A53">
        <v>4</v>
      </c>
      <c r="B53" t="str">
        <v>OMYA</v>
      </c>
      <c r="C53">
        <v>0.5</v>
      </c>
      <c r="D53">
        <v>2019</v>
      </c>
      <c r="E53" s="61">
        <v>2022</v>
      </c>
      <c r="F53" s="61">
        <v>0.56000000000000005</v>
      </c>
    </row>
    <row r="54" spans="1:6" x14ac:dyDescent="0.25">
      <c r="A54">
        <v>4</v>
      </c>
      <c r="B54" t="str">
        <v>OMYA</v>
      </c>
      <c r="C54">
        <v>0.8</v>
      </c>
      <c r="D54">
        <v>2020</v>
      </c>
      <c r="E54" s="61">
        <v>2023</v>
      </c>
      <c r="F54" s="61">
        <v>0.32</v>
      </c>
    </row>
    <row r="55" spans="1:6" x14ac:dyDescent="0.25">
      <c r="A55">
        <v>4</v>
      </c>
      <c r="B55" t="str">
        <v>OMYA</v>
      </c>
      <c r="C55">
        <v>0.8</v>
      </c>
      <c r="D55">
        <v>2020</v>
      </c>
      <c r="E55" s="61">
        <v>2023</v>
      </c>
      <c r="F55" s="61">
        <v>0.3</v>
      </c>
    </row>
    <row r="56" spans="1:6" x14ac:dyDescent="0.25">
      <c r="A56">
        <v>4</v>
      </c>
      <c r="B56" t="str">
        <v>OMYA</v>
      </c>
      <c r="C56">
        <v>0.6</v>
      </c>
      <c r="D56">
        <v>2020</v>
      </c>
      <c r="E56" s="61">
        <v>2023</v>
      </c>
      <c r="F56" s="61">
        <v>0.24</v>
      </c>
    </row>
    <row r="57" spans="1:6" x14ac:dyDescent="0.25">
      <c r="A57">
        <v>4</v>
      </c>
      <c r="B57" t="str">
        <v>OMYA</v>
      </c>
      <c r="C57">
        <v>0.56000000000000005</v>
      </c>
      <c r="D57">
        <v>2021</v>
      </c>
      <c r="E57" s="61">
        <v>2023</v>
      </c>
      <c r="F57" s="61">
        <v>0.24</v>
      </c>
    </row>
    <row r="58" spans="1:6" x14ac:dyDescent="0.25">
      <c r="A58">
        <v>4</v>
      </c>
      <c r="B58" t="str">
        <v>OMYA</v>
      </c>
      <c r="C58">
        <v>1.02</v>
      </c>
      <c r="D58">
        <v>2021</v>
      </c>
      <c r="E58" s="61">
        <v>2023</v>
      </c>
      <c r="F58" s="61">
        <v>0.28000000000000003</v>
      </c>
    </row>
    <row r="59" spans="1:6" x14ac:dyDescent="0.25">
      <c r="A59">
        <v>4</v>
      </c>
      <c r="B59" t="str">
        <v>OMYA</v>
      </c>
      <c r="C59">
        <v>0.66</v>
      </c>
      <c r="D59">
        <v>2022</v>
      </c>
      <c r="E59" s="61">
        <v>2023</v>
      </c>
      <c r="F59" s="61">
        <v>0.24</v>
      </c>
    </row>
    <row r="60" spans="1:6" x14ac:dyDescent="0.25">
      <c r="A60">
        <v>4</v>
      </c>
      <c r="B60" t="str">
        <v>OMYA</v>
      </c>
      <c r="C60">
        <v>0.32</v>
      </c>
      <c r="D60">
        <v>2022</v>
      </c>
      <c r="E60" s="61">
        <v>2023</v>
      </c>
      <c r="F60" s="61">
        <v>0.64</v>
      </c>
    </row>
    <row r="61" spans="1:6" x14ac:dyDescent="0.25">
      <c r="A61">
        <v>4</v>
      </c>
      <c r="B61" t="str">
        <v>OMYA</v>
      </c>
      <c r="C61">
        <v>0.64</v>
      </c>
      <c r="D61">
        <v>2022</v>
      </c>
      <c r="E61" s="61">
        <v>2023</v>
      </c>
      <c r="F61" s="61">
        <v>0.46</v>
      </c>
    </row>
    <row r="62" spans="1:6" x14ac:dyDescent="0.25">
      <c r="A62">
        <v>4</v>
      </c>
      <c r="B62" t="str">
        <v>OMYA</v>
      </c>
      <c r="C62">
        <v>0.68</v>
      </c>
      <c r="D62">
        <v>2023</v>
      </c>
      <c r="E62" s="61">
        <v>2023</v>
      </c>
      <c r="F62" s="61">
        <v>0.2</v>
      </c>
    </row>
    <row r="63" spans="1:6" x14ac:dyDescent="0.25">
      <c r="A63">
        <v>4</v>
      </c>
      <c r="B63" t="str">
        <v>OMYA</v>
      </c>
      <c r="C63">
        <v>0.34</v>
      </c>
      <c r="D63">
        <v>2023</v>
      </c>
      <c r="E63" s="61">
        <v>2023</v>
      </c>
      <c r="F63" s="61">
        <v>0.68</v>
      </c>
    </row>
    <row r="64" spans="1:6" x14ac:dyDescent="0.25">
      <c r="A64">
        <v>4</v>
      </c>
      <c r="B64" t="str">
        <v>OMYA</v>
      </c>
      <c r="C64">
        <v>0.16</v>
      </c>
      <c r="D64">
        <v>2023</v>
      </c>
      <c r="E64" s="61">
        <v>2023</v>
      </c>
      <c r="F64" s="61">
        <v>0.34</v>
      </c>
    </row>
    <row r="65" spans="1:6" x14ac:dyDescent="0.25">
      <c r="A65">
        <v>4</v>
      </c>
      <c r="B65" t="str">
        <v>OMYA</v>
      </c>
      <c r="C65">
        <v>0.96</v>
      </c>
      <c r="D65">
        <v>2024</v>
      </c>
      <c r="E65" s="61">
        <v>2023</v>
      </c>
      <c r="F65" s="61">
        <v>0.16</v>
      </c>
    </row>
    <row r="66" spans="1:6" x14ac:dyDescent="0.25">
      <c r="A66">
        <v>4</v>
      </c>
      <c r="B66" t="str">
        <v>OMYA</v>
      </c>
      <c r="C66">
        <v>0.5</v>
      </c>
      <c r="D66">
        <v>2024</v>
      </c>
      <c r="E66" s="61">
        <v>2023</v>
      </c>
      <c r="F66" s="61">
        <v>0.66</v>
      </c>
    </row>
    <row r="67" spans="1:6" x14ac:dyDescent="0.25">
      <c r="A67">
        <v>4</v>
      </c>
      <c r="B67" t="str">
        <v>OMYA</v>
      </c>
      <c r="C67">
        <v>0.9</v>
      </c>
      <c r="D67">
        <v>2024</v>
      </c>
      <c r="E67" s="61">
        <v>2023</v>
      </c>
      <c r="F67" s="61">
        <v>0.66</v>
      </c>
    </row>
    <row r="68" spans="1:6" x14ac:dyDescent="0.25">
      <c r="A68">
        <v>5</v>
      </c>
      <c r="B68" t="str">
        <v>ESTACION RIOTEX</v>
      </c>
      <c r="C68">
        <v>0.7</v>
      </c>
      <c r="D68">
        <v>2021</v>
      </c>
      <c r="E68" s="61">
        <v>2023</v>
      </c>
      <c r="F68" s="61">
        <v>0.18</v>
      </c>
    </row>
    <row r="69" spans="1:6" x14ac:dyDescent="0.25">
      <c r="A69">
        <v>5</v>
      </c>
      <c r="B69" t="str">
        <v>ESTACION RIOTEX</v>
      </c>
      <c r="C69">
        <v>1.4</v>
      </c>
      <c r="D69">
        <v>2019</v>
      </c>
      <c r="E69" s="61">
        <v>2024</v>
      </c>
      <c r="F69" s="61">
        <v>0.46</v>
      </c>
    </row>
    <row r="70" spans="1:6" x14ac:dyDescent="0.25">
      <c r="A70">
        <v>5</v>
      </c>
      <c r="B70" t="str">
        <v>ESTACION RIOTEX</v>
      </c>
      <c r="C70">
        <v>1.5</v>
      </c>
      <c r="D70">
        <v>2020</v>
      </c>
      <c r="E70" s="61">
        <v>2024</v>
      </c>
      <c r="F70" s="61">
        <v>0.24</v>
      </c>
    </row>
    <row r="71" spans="1:6" x14ac:dyDescent="0.25">
      <c r="A71">
        <v>5</v>
      </c>
      <c r="B71" t="str">
        <v>ESTACION RIOTEX</v>
      </c>
      <c r="C71">
        <v>1.1000000000000001</v>
      </c>
      <c r="D71">
        <v>2020</v>
      </c>
      <c r="E71" s="61">
        <v>2024</v>
      </c>
      <c r="F71" s="61">
        <v>0.64</v>
      </c>
    </row>
    <row r="72" spans="1:6" x14ac:dyDescent="0.25">
      <c r="A72">
        <v>5</v>
      </c>
      <c r="B72" t="str">
        <v>ESTACION RIOTEX</v>
      </c>
      <c r="C72">
        <v>0.8</v>
      </c>
      <c r="D72">
        <v>2020</v>
      </c>
      <c r="E72" s="61">
        <v>2024</v>
      </c>
      <c r="F72" s="61">
        <v>0.57999999999999996</v>
      </c>
    </row>
    <row r="73" spans="1:6" x14ac:dyDescent="0.25">
      <c r="A73">
        <v>5</v>
      </c>
      <c r="B73" t="str">
        <v>ESTACION RIOTEX</v>
      </c>
      <c r="C73">
        <v>0.86</v>
      </c>
      <c r="D73">
        <v>2021</v>
      </c>
      <c r="E73" s="61">
        <v>2024</v>
      </c>
      <c r="F73" s="61">
        <v>0.44</v>
      </c>
    </row>
    <row r="74" spans="1:6" x14ac:dyDescent="0.25">
      <c r="A74">
        <v>5</v>
      </c>
      <c r="B74" t="str">
        <v>ESTACION RIOTEX</v>
      </c>
      <c r="C74">
        <v>1.3</v>
      </c>
      <c r="D74">
        <v>2021</v>
      </c>
      <c r="E74" s="61">
        <v>2024</v>
      </c>
      <c r="F74" s="61">
        <v>0.36</v>
      </c>
    </row>
    <row r="75" spans="1:6" x14ac:dyDescent="0.25">
      <c r="A75">
        <v>5</v>
      </c>
      <c r="B75" t="str">
        <v>ESTACION RIOTEX</v>
      </c>
      <c r="C75">
        <v>1.56</v>
      </c>
      <c r="D75">
        <v>2022</v>
      </c>
      <c r="E75" s="61">
        <v>2024</v>
      </c>
      <c r="F75" s="61">
        <v>2.52</v>
      </c>
    </row>
    <row r="76" spans="1:6" x14ac:dyDescent="0.25">
      <c r="A76">
        <v>5</v>
      </c>
      <c r="B76" t="str">
        <v>ESTACION RIOTEX</v>
      </c>
      <c r="C76">
        <v>0.36</v>
      </c>
      <c r="D76">
        <v>2022</v>
      </c>
      <c r="E76" s="61">
        <v>2024</v>
      </c>
      <c r="F76" s="61">
        <v>0.5</v>
      </c>
    </row>
    <row r="77" spans="1:6" x14ac:dyDescent="0.25">
      <c r="A77">
        <v>5</v>
      </c>
      <c r="B77" t="str">
        <v>ESTACION RIOTEX</v>
      </c>
      <c r="C77">
        <v>0.56000000000000005</v>
      </c>
      <c r="D77">
        <v>2022</v>
      </c>
      <c r="E77" s="61">
        <v>2024</v>
      </c>
      <c r="F77" s="61">
        <v>1.88</v>
      </c>
    </row>
    <row r="78" spans="1:6" x14ac:dyDescent="0.25">
      <c r="A78">
        <v>5</v>
      </c>
      <c r="B78" t="str">
        <v>ESTACION RIOTEX</v>
      </c>
      <c r="C78">
        <v>0.66</v>
      </c>
      <c r="D78">
        <v>2023</v>
      </c>
      <c r="E78" s="61">
        <v>2024</v>
      </c>
      <c r="F78" s="61">
        <v>0.96</v>
      </c>
    </row>
    <row r="79" spans="1:6" x14ac:dyDescent="0.25">
      <c r="A79">
        <v>5</v>
      </c>
      <c r="B79" t="str">
        <v>ESTACION RIOTEX</v>
      </c>
      <c r="C79">
        <v>0.66</v>
      </c>
      <c r="D79">
        <v>2023</v>
      </c>
      <c r="E79" s="61">
        <v>2024</v>
      </c>
      <c r="F79" s="61">
        <v>0.5</v>
      </c>
    </row>
    <row r="80" spans="1:6" x14ac:dyDescent="0.25">
      <c r="A80">
        <v>5</v>
      </c>
      <c r="B80" t="str">
        <v>ESTACION RIOTEX</v>
      </c>
      <c r="C80">
        <v>0.18</v>
      </c>
      <c r="D80">
        <v>2023</v>
      </c>
      <c r="E80" s="61">
        <v>2024</v>
      </c>
      <c r="F80" s="61">
        <v>0.9</v>
      </c>
    </row>
    <row r="81" spans="1:6" x14ac:dyDescent="0.25">
      <c r="A81">
        <v>5</v>
      </c>
      <c r="B81" t="str">
        <v>ESTACION RIOTEX</v>
      </c>
      <c r="C81">
        <v>2.98</v>
      </c>
      <c r="D81">
        <v>2024</v>
      </c>
      <c r="E81" s="61">
        <v>2024</v>
      </c>
      <c r="F81" s="61">
        <v>2.98</v>
      </c>
    </row>
    <row r="82" spans="1:6" x14ac:dyDescent="0.25">
      <c r="A82">
        <v>5</v>
      </c>
      <c r="B82" t="str">
        <v>ESTACION RIOTEX</v>
      </c>
      <c r="C82">
        <v>1.38</v>
      </c>
      <c r="D82">
        <v>2024</v>
      </c>
      <c r="E82" s="61">
        <v>2024</v>
      </c>
      <c r="F82" s="61">
        <v>1.38</v>
      </c>
    </row>
    <row r="83" spans="1:6" x14ac:dyDescent="0.25">
      <c r="A83">
        <v>5</v>
      </c>
      <c r="B83" t="str">
        <v>ESTACION RIOTEX</v>
      </c>
      <c r="C83">
        <v>1.62</v>
      </c>
      <c r="D83">
        <v>2024</v>
      </c>
      <c r="E83" s="61">
        <v>2024</v>
      </c>
      <c r="F83" s="61">
        <v>1.62</v>
      </c>
    </row>
    <row r="84" spans="1:6" x14ac:dyDescent="0.25">
      <c r="E84" s="61"/>
      <c r="F84" s="61"/>
    </row>
    <row r="85" spans="1:6" x14ac:dyDescent="0.25">
      <c r="E85" s="61"/>
      <c r="F85" s="61"/>
    </row>
    <row r="86" spans="1:6" x14ac:dyDescent="0.25">
      <c r="E86" s="61"/>
      <c r="F86" s="61"/>
    </row>
    <row r="87" spans="1:6" x14ac:dyDescent="0.25">
      <c r="E87" s="61"/>
      <c r="F87" s="61"/>
    </row>
    <row r="88" spans="1:6" x14ac:dyDescent="0.25">
      <c r="E88" s="61"/>
      <c r="F88" s="61"/>
    </row>
    <row r="89" spans="1:6" x14ac:dyDescent="0.25">
      <c r="E89" s="61"/>
      <c r="F89" s="61"/>
    </row>
    <row r="90" spans="1:6" x14ac:dyDescent="0.25">
      <c r="E90" s="61"/>
      <c r="F90" s="61"/>
    </row>
    <row r="91" spans="1:6" x14ac:dyDescent="0.25">
      <c r="E91" s="61"/>
      <c r="F91" s="61"/>
    </row>
    <row r="92" spans="1:6" x14ac:dyDescent="0.25">
      <c r="E92" s="61"/>
      <c r="F92" s="61"/>
    </row>
    <row r="93" spans="1:6" x14ac:dyDescent="0.25">
      <c r="E93" s="61"/>
      <c r="F93" s="61"/>
    </row>
    <row r="94" spans="1:6" x14ac:dyDescent="0.25">
      <c r="E94" s="61"/>
      <c r="F94" s="61"/>
    </row>
    <row r="95" spans="1:6" x14ac:dyDescent="0.25">
      <c r="E95" s="61"/>
      <c r="F95" s="61"/>
    </row>
    <row r="96" spans="1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83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4A2D-E981-4644-B680-26B57FD62A38}">
  <sheetPr>
    <tabColor rgb="FFFFFF00"/>
  </sheetPr>
  <dimension ref="A2:Y161"/>
  <sheetViews>
    <sheetView topLeftCell="A26" zoomScale="80" zoomScaleNormal="80" workbookViewId="0">
      <selection activeCell="R36" sqref="R36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103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λ=525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83">_xlfn._xlws.FILTER(CHOOSE(1,'Resultados historicos'!C:C,'Resultados historicos'!D:D,'Resultados historicos'!O:O,'Resultados historicos'!A:A),'Resultados historicos'!H:H=A2)</f>
        <v>1</v>
      </c>
      <c r="B4" t="str" cm="1">
        <f t="array" ref="B4:B83">_xlfn._xlws.FILTER(CHOOSE(2,'Resultados historicos'!C:C,'Resultados historicos'!D:D,'Resultados historicos'!O:O,'Resultados historicos'!A:A),'Resultados historicos'!H:H=A2)</f>
        <v>ROMERAL</v>
      </c>
      <c r="C4" cm="1">
        <f t="array" ref="C4:C83">_xlfn._xlws.FILTER(CHOOSE(3,'Resultados historicos'!C:C,'Resultados historicos'!D:D,'Resultados historicos'!P:P,'Resultados historicos'!A:A),'Resultados historicos'!H:H=A2)</f>
        <v>0.16</v>
      </c>
      <c r="D4" cm="1">
        <f t="array" ref="D4:D83">_xlfn._xlws.FILTER(CHOOSE(4,'Resultados historicos'!C:C,'Resultados historicos'!D:D,'Resultados historicos'!O:O,'Resultados historicos'!A:A),'Resultados historicos'!H:H=A2)</f>
        <v>2024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ROMERAL</v>
      </c>
      <c r="C5">
        <v>0.16</v>
      </c>
      <c r="D5">
        <v>2024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ROMERAL</v>
      </c>
      <c r="C6">
        <v>0.32</v>
      </c>
      <c r="D6">
        <v>2024</v>
      </c>
      <c r="E6" s="61">
        <v>2019</v>
      </c>
      <c r="F6" s="61">
        <v>0.3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ROMERAL</v>
      </c>
      <c r="C7">
        <v>0.2</v>
      </c>
      <c r="D7">
        <v>2021</v>
      </c>
      <c r="E7" s="61">
        <v>2019</v>
      </c>
      <c r="F7" s="61">
        <v>0.2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ROMERAL</v>
      </c>
      <c r="C8">
        <v>0.1</v>
      </c>
      <c r="D8">
        <v>2019</v>
      </c>
      <c r="E8" s="61">
        <v>2019</v>
      </c>
      <c r="F8" s="61">
        <v>0.7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ROMERAL</v>
      </c>
      <c r="C9">
        <v>0.2</v>
      </c>
      <c r="D9">
        <v>2020</v>
      </c>
      <c r="E9" s="61">
        <v>2020</v>
      </c>
      <c r="F9" s="61">
        <v>0.2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ROMERAL</v>
      </c>
      <c r="C10">
        <v>0.1</v>
      </c>
      <c r="D10">
        <v>2020</v>
      </c>
      <c r="E10" s="61">
        <v>2020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ROMERAL</v>
      </c>
      <c r="C11">
        <v>0.4</v>
      </c>
      <c r="D11">
        <v>2020</v>
      </c>
      <c r="E11" s="61">
        <v>2020</v>
      </c>
      <c r="F11" s="61">
        <v>0.4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ROMERAL</v>
      </c>
      <c r="C12">
        <v>0.14000000000000001</v>
      </c>
      <c r="D12">
        <v>2021</v>
      </c>
      <c r="E12" s="61">
        <v>2020</v>
      </c>
      <c r="F12" s="61">
        <v>0.2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ROMERAL</v>
      </c>
      <c r="C13">
        <v>0.38</v>
      </c>
      <c r="D13">
        <v>2021</v>
      </c>
      <c r="E13" s="61">
        <v>2020</v>
      </c>
      <c r="F13" s="61">
        <v>0.1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ROMERAL</v>
      </c>
      <c r="C14">
        <v>0.1</v>
      </c>
      <c r="D14">
        <v>2022</v>
      </c>
      <c r="E14" s="61">
        <v>2020</v>
      </c>
      <c r="F14" s="61">
        <v>0.3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ROMERAL</v>
      </c>
      <c r="C15">
        <v>0.1</v>
      </c>
      <c r="D15">
        <v>2022</v>
      </c>
      <c r="E15" s="61">
        <v>2020</v>
      </c>
      <c r="F15" s="61">
        <v>0.9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ROMERAL</v>
      </c>
      <c r="C16">
        <v>0.16</v>
      </c>
      <c r="D16">
        <v>2022</v>
      </c>
      <c r="E16" s="61">
        <v>2020</v>
      </c>
      <c r="F16" s="61">
        <v>0.2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ROMERAL</v>
      </c>
      <c r="C17">
        <v>0.12</v>
      </c>
      <c r="D17">
        <v>2023</v>
      </c>
      <c r="E17" s="61">
        <v>2020</v>
      </c>
      <c r="F17" s="61">
        <v>0.4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ROMERAL</v>
      </c>
      <c r="C18">
        <v>0.08</v>
      </c>
      <c r="D18">
        <v>2023</v>
      </c>
      <c r="E18" s="61">
        <v>2020</v>
      </c>
      <c r="F18" s="61">
        <v>0.4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ROMERAL</v>
      </c>
      <c r="C19">
        <v>0.12</v>
      </c>
      <c r="D19">
        <v>2023</v>
      </c>
      <c r="E19" s="61">
        <v>2020</v>
      </c>
      <c r="F19" s="61">
        <v>0.2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PUENTE MOLINO</v>
      </c>
      <c r="C20">
        <v>0.3</v>
      </c>
      <c r="D20">
        <v>2021</v>
      </c>
      <c r="E20" s="61">
        <v>2020</v>
      </c>
      <c r="F20" s="61">
        <v>0.2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PUENTE MOLINO</v>
      </c>
      <c r="C21">
        <v>0.1</v>
      </c>
      <c r="D21">
        <v>2019</v>
      </c>
      <c r="E21" s="61">
        <v>2020</v>
      </c>
      <c r="F21" s="61">
        <v>1.2</v>
      </c>
      <c r="H21" s="131"/>
      <c r="I21" s="131"/>
      <c r="J21" s="131"/>
      <c r="K21" s="131"/>
      <c r="L21" s="131"/>
      <c r="M21" s="131"/>
      <c r="N21" s="131"/>
      <c r="O21" s="135" t="str">
        <f>H30</f>
        <v>λ=525 (m⁻¹)</v>
      </c>
      <c r="P21" s="135"/>
      <c r="Q21" s="135"/>
      <c r="R21" s="135"/>
      <c r="S21" s="135"/>
      <c r="T21" s="135"/>
      <c r="W21" s="136" t="str">
        <f>O21</f>
        <v>λ=525 (m⁻¹)</v>
      </c>
      <c r="X21" s="136"/>
      <c r="Y21" s="136"/>
    </row>
    <row r="22" spans="1:25" x14ac:dyDescent="0.25">
      <c r="A22">
        <v>2</v>
      </c>
      <c r="B22" t="str">
        <v>ESTACION PUENTE MOLINO</v>
      </c>
      <c r="C22">
        <v>0.2</v>
      </c>
      <c r="D22">
        <v>2020</v>
      </c>
      <c r="E22" s="61">
        <v>2020</v>
      </c>
      <c r="F22" s="61">
        <v>0.4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PUENTE MOLINO</v>
      </c>
      <c r="C23">
        <v>0.1</v>
      </c>
      <c r="D23">
        <v>2020</v>
      </c>
      <c r="E23" s="61">
        <v>2020</v>
      </c>
      <c r="F23" s="61">
        <v>0.4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5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0.27999999999999997</v>
      </c>
      <c r="S23" s="10">
        <f t="shared" ref="S23:S28" si="3">_xlfn.MAXIFS(_xlfn.ANCHORARRAY($C$4),_xlfn.ANCHORARRAY($D$4),O23)</f>
        <v>0.7</v>
      </c>
      <c r="T23" s="10" cm="1">
        <f t="array" ref="T23">_xlfn.STDEV.S(_xlfn._xlws.FILTER(_xlfn.ANCHORARRAY($C$4),_xlfn.ANCHORARRAY($D$4)=O23))</f>
        <v>0.24899799195977462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PUENTE MOLINO</v>
      </c>
      <c r="C24">
        <v>0.3</v>
      </c>
      <c r="D24">
        <v>2020</v>
      </c>
      <c r="E24" s="61">
        <v>2021</v>
      </c>
      <c r="F24" s="61">
        <v>0.2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15</v>
      </c>
      <c r="Q24" s="10">
        <f t="shared" si="1"/>
        <v>0.1</v>
      </c>
      <c r="R24" s="10">
        <f t="shared" si="2"/>
        <v>0.37333333333333341</v>
      </c>
      <c r="S24" s="10">
        <f t="shared" si="3"/>
        <v>1.2</v>
      </c>
      <c r="T24" s="10" cm="1">
        <f t="array" ref="T24">_xlfn.STDEV.S(_xlfn._xlws.FILTER(_xlfn.ANCHORARRAY($C$4),_xlfn.ANCHORARRAY($D$4)=O24))</f>
        <v>0.30110906108363239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PUENTE MOLINO</v>
      </c>
      <c r="C25">
        <v>0.1</v>
      </c>
      <c r="D25">
        <v>2021</v>
      </c>
      <c r="E25" s="61">
        <v>2021</v>
      </c>
      <c r="F25" s="61">
        <v>0.14000000000000001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15</v>
      </c>
      <c r="Q25" s="10">
        <f t="shared" si="1"/>
        <v>0.1</v>
      </c>
      <c r="R25" s="10">
        <f t="shared" si="2"/>
        <v>0.34266666666666662</v>
      </c>
      <c r="S25" s="10">
        <f t="shared" si="3"/>
        <v>0.6</v>
      </c>
      <c r="T25" s="10" cm="1">
        <f t="array" ref="T25">_xlfn.STDEV.S(_xlfn._xlws.FILTER(_xlfn.ANCHORARRAY($C$4),_xlfn.ANCHORARRAY($D$4)=O25))</f>
        <v>0.16850038858228486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PUENTE MOLINO</v>
      </c>
      <c r="C26">
        <v>0.32</v>
      </c>
      <c r="D26">
        <v>2021</v>
      </c>
      <c r="E26" s="61">
        <v>2021</v>
      </c>
      <c r="F26" s="61">
        <v>0.38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15</v>
      </c>
      <c r="Q26" s="10">
        <f t="shared" si="1"/>
        <v>0.1</v>
      </c>
      <c r="R26" s="10">
        <f t="shared" si="2"/>
        <v>0.26</v>
      </c>
      <c r="S26" s="10">
        <f t="shared" si="3"/>
        <v>0.76</v>
      </c>
      <c r="T26" s="10" cm="1">
        <f t="array" ref="T26">_xlfn.STDEV.S(_xlfn._xlws.FILTER(_xlfn.ANCHORARRAY($C$4),_xlfn.ANCHORARRAY($D$4)=O26))</f>
        <v>0.1699159456067281</v>
      </c>
      <c r="V26" t="s">
        <v>565</v>
      </c>
      <c r="W26" s="1" t="str">
        <f>TEXT(R29,"0,00")&amp;" ± "&amp;TEXT((W25*T29/SQRT(P29)),"0,00")</f>
        <v>0,34 ± 0,06</v>
      </c>
      <c r="X26" s="1" t="str">
        <f>TEXT(R29,"0,00")&amp;" ± "&amp;TEXT((X25*T29/SQRT(P29)),"0,00")</f>
        <v>0,34 ± 0,07</v>
      </c>
      <c r="Y26" s="1" t="str">
        <f>TEXT(R29,"0,00")&amp;" ± "&amp;TEXT((Y25*T29/SQRT(P29)),"0,00")</f>
        <v>0,34 ± 0,10</v>
      </c>
    </row>
    <row r="27" spans="1:25" x14ac:dyDescent="0.25">
      <c r="A27">
        <v>2</v>
      </c>
      <c r="B27" t="str">
        <v>ESTACION PUENTE MOLINO</v>
      </c>
      <c r="C27">
        <v>0.14000000000000001</v>
      </c>
      <c r="D27">
        <v>2022</v>
      </c>
      <c r="E27" s="61">
        <v>2021</v>
      </c>
      <c r="F27" s="61">
        <v>0.3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15</v>
      </c>
      <c r="Q27" s="10">
        <f t="shared" si="1"/>
        <v>0.04</v>
      </c>
      <c r="R27" s="10">
        <f t="shared" si="2"/>
        <v>0.15200000000000002</v>
      </c>
      <c r="S27" s="10">
        <f t="shared" si="3"/>
        <v>0.38</v>
      </c>
      <c r="T27" s="10" cm="1">
        <f t="array" ref="T27">_xlfn.STDEV.S(_xlfn._xlws.FILTER(_xlfn.ANCHORARRAY($C$4),_xlfn.ANCHORARRAY($D$4)=O27))</f>
        <v>0.10051297002306289</v>
      </c>
      <c r="V27" t="s">
        <v>566</v>
      </c>
      <c r="W27" s="10">
        <f>R29-(W25*T29/SQRT(P29))</f>
        <v>0.28171940004024304</v>
      </c>
      <c r="X27" s="10">
        <f>R29-(X25*T29/SQRT(P29))</f>
        <v>0.26985992791431979</v>
      </c>
      <c r="Y27" s="10">
        <f>R29-(Y25*T29/SQRT(P29))</f>
        <v>0.24668126238265756</v>
      </c>
    </row>
    <row r="28" spans="1:25" x14ac:dyDescent="0.25">
      <c r="A28">
        <v>2</v>
      </c>
      <c r="B28" t="str">
        <v>ESTACION PUENTE MOLINO</v>
      </c>
      <c r="C28">
        <v>0.46</v>
      </c>
      <c r="D28">
        <v>2022</v>
      </c>
      <c r="E28" s="61">
        <v>2021</v>
      </c>
      <c r="F28" s="61">
        <v>0.1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15</v>
      </c>
      <c r="Q28" s="10">
        <f t="shared" si="1"/>
        <v>0.16</v>
      </c>
      <c r="R28" s="10">
        <f t="shared" si="2"/>
        <v>0.6113333333333334</v>
      </c>
      <c r="S28" s="10">
        <f t="shared" si="3"/>
        <v>2</v>
      </c>
      <c r="T28" s="10" cm="1">
        <f t="array" ref="T28">_xlfn.STDEV.S(_xlfn._xlws.FILTER(_xlfn.ANCHORARRAY($C$4),_xlfn.ANCHORARRAY($D$4)=O28))</f>
        <v>0.58109338647890618</v>
      </c>
      <c r="V28" t="s">
        <v>567</v>
      </c>
      <c r="W28" s="10">
        <f>R29+(W25*T29/SQRT(P29))</f>
        <v>0.40553059995975688</v>
      </c>
      <c r="X28" s="10">
        <f>R29+(X25*T29/SQRT(P29))</f>
        <v>0.41739007208568013</v>
      </c>
      <c r="Y28" s="10">
        <f>R29+(Y25*T29/SQRT(P29))</f>
        <v>0.44056873761734239</v>
      </c>
    </row>
    <row r="29" spans="1:25" x14ac:dyDescent="0.25">
      <c r="A29">
        <v>2</v>
      </c>
      <c r="B29" t="str">
        <v>ESTACION PUENTE MOLINO</v>
      </c>
      <c r="C29">
        <v>0.28000000000000003</v>
      </c>
      <c r="D29">
        <v>2022</v>
      </c>
      <c r="E29" s="61">
        <v>2021</v>
      </c>
      <c r="F29" s="61">
        <v>0.32</v>
      </c>
      <c r="O29" t="s">
        <v>568</v>
      </c>
      <c r="P29" s="1">
        <f>SUM(P23:P28)</f>
        <v>80</v>
      </c>
      <c r="R29" s="10">
        <f>AVERAGE(_xlfn.ANCHORARRAY(C4))</f>
        <v>0.34362499999999996</v>
      </c>
      <c r="T29" s="10">
        <f>_xlfn.STDEV.S(_xlfn.ANCHORARRAY(C4))</f>
        <v>0.33662601323250435</v>
      </c>
    </row>
    <row r="30" spans="1:25" x14ac:dyDescent="0.25">
      <c r="A30">
        <v>2</v>
      </c>
      <c r="B30" t="str">
        <v>ESTACION PUENTE MOLINO</v>
      </c>
      <c r="C30">
        <v>0.08</v>
      </c>
      <c r="D30">
        <v>2023</v>
      </c>
      <c r="E30" s="61">
        <v>2021</v>
      </c>
      <c r="F30" s="61">
        <v>0.2</v>
      </c>
      <c r="H30" s="135" t="str">
        <f>'Estadistico resumen'!$K$1</f>
        <v>λ=525 (m⁻¹)</v>
      </c>
      <c r="I30" s="135"/>
      <c r="J30" s="135"/>
      <c r="K30" s="135"/>
      <c r="L30" s="135"/>
      <c r="M30" s="135"/>
      <c r="N30" s="135"/>
    </row>
    <row r="31" spans="1:25" x14ac:dyDescent="0.25">
      <c r="A31">
        <v>2</v>
      </c>
      <c r="B31" t="str">
        <v>ESTACION PUENTE MOLINO</v>
      </c>
      <c r="C31">
        <v>0.1</v>
      </c>
      <c r="D31">
        <v>2023</v>
      </c>
      <c r="E31" s="61">
        <v>2021</v>
      </c>
      <c r="F31" s="61">
        <v>0.34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PUENTE MOLINO</v>
      </c>
      <c r="C32">
        <v>0.12</v>
      </c>
      <c r="D32">
        <v>2023</v>
      </c>
      <c r="E32" s="61">
        <v>2021</v>
      </c>
      <c r="F32" s="61">
        <v>0.57999999999999996</v>
      </c>
      <c r="H32" s="1" cm="1">
        <f t="array" ref="H32:H36">_xlfn._xlws.SORT(_xlfn.UNIQUE(_xlfn.ANCHORARRAY(A4)))</f>
        <v>1</v>
      </c>
      <c r="I32" t="str">
        <f>IFERROR(VLOOKUP(H32,$A$4:$B$161,2),"")</f>
        <v>ROMERAL</v>
      </c>
      <c r="J32" s="46">
        <f>COUNTIF(_xlfn.ANCHORARRAY($B$4),I32)</f>
        <v>16</v>
      </c>
      <c r="K32" s="10">
        <f>_xlfn.MINIFS(_xlfn.ANCHORARRAY($C$4),_xlfn.ANCHORARRAY($B$4),I32)</f>
        <v>0.08</v>
      </c>
      <c r="L32" s="10">
        <f>SUMIFS(_xlfn.ANCHORARRAY($C$4),_xlfn.ANCHORARRAY($B$4),I32)/J32</f>
        <v>0.17750000000000005</v>
      </c>
      <c r="M32" s="10">
        <f>_xlfn.MAXIFS(_xlfn.ANCHORARRAY($C$4),_xlfn.ANCHORARRAY($B$4),I32)</f>
        <v>0.4</v>
      </c>
      <c r="N32" s="10" cm="1">
        <f t="array" ref="N32">_xlfn.STDEV.S(_xlfn._xlws.FILTER(_xlfn.ANCHORARRAY($C$4),_xlfn.ANCHORARRAY($B$4)=I32))</f>
        <v>0.10142320576015457</v>
      </c>
    </row>
    <row r="33" spans="1:14" x14ac:dyDescent="0.25">
      <c r="A33">
        <v>2</v>
      </c>
      <c r="B33" t="str">
        <v>ESTACION PUENTE MOLINO</v>
      </c>
      <c r="C33">
        <v>0.3</v>
      </c>
      <c r="D33">
        <v>2024</v>
      </c>
      <c r="E33" s="61">
        <v>2021</v>
      </c>
      <c r="F33" s="61">
        <v>0.2</v>
      </c>
      <c r="H33" s="1">
        <v>2</v>
      </c>
      <c r="I33" t="str">
        <f t="shared" ref="I33:I36" si="4">VLOOKUP(H33,$A$4:$B$161,2)</f>
        <v>ESTACION PUENTE MOLINO</v>
      </c>
      <c r="J33" s="46">
        <f t="shared" ref="J33:J36" si="5">COUNTIF(_xlfn.ANCHORARRAY($B$4),I33)</f>
        <v>16</v>
      </c>
      <c r="K33" s="10">
        <f t="shared" ref="K33:K35" si="6">_xlfn.MINIFS(_xlfn.ANCHORARRAY($C$4),_xlfn.ANCHORARRAY($B$4),I33)</f>
        <v>0.08</v>
      </c>
      <c r="L33" s="10">
        <f t="shared" ref="L33:L35" si="7">SUMIFS(_xlfn.ANCHORARRAY($C$4),_xlfn.ANCHORARRAY($B$4),I33)/J33</f>
        <v>0.20500000000000002</v>
      </c>
      <c r="M33" s="10">
        <f t="shared" ref="M33:M35" si="8">_xlfn.MAXIFS(_xlfn.ANCHORARRAY($C$4),_xlfn.ANCHORARRAY($B$4),I33)</f>
        <v>0.46</v>
      </c>
      <c r="N33" s="10" cm="1">
        <f t="array" ref="N33">_xlfn.STDEV.S(_xlfn._xlws.FILTER(_xlfn.ANCHORARRAY($C$4),_xlfn.ANCHORARRAY($B$4)=I33))</f>
        <v>0.11039323650779814</v>
      </c>
    </row>
    <row r="34" spans="1:14" x14ac:dyDescent="0.25">
      <c r="A34">
        <v>2</v>
      </c>
      <c r="B34" t="str">
        <v>ESTACION PUENTE MOLINO</v>
      </c>
      <c r="C34">
        <v>0.18</v>
      </c>
      <c r="D34">
        <v>2024</v>
      </c>
      <c r="E34" s="61">
        <v>2021</v>
      </c>
      <c r="F34" s="61">
        <v>0.22</v>
      </c>
      <c r="H34" s="1">
        <v>3</v>
      </c>
      <c r="I34" t="str">
        <f t="shared" si="4"/>
        <v>ESTACION BOX COULVERT KM 24</v>
      </c>
      <c r="J34" s="46">
        <f t="shared" si="5"/>
        <v>16</v>
      </c>
      <c r="K34" s="10">
        <f t="shared" si="6"/>
        <v>0.08</v>
      </c>
      <c r="L34" s="10">
        <f t="shared" si="7"/>
        <v>0.46187500000000004</v>
      </c>
      <c r="M34" s="10">
        <f t="shared" si="8"/>
        <v>1.5</v>
      </c>
      <c r="N34" s="10" cm="1">
        <f t="array" ref="N34">_xlfn.STDEV.S(_xlfn._xlws.FILTER(_xlfn.ANCHORARRAY($C$4),_xlfn.ANCHORARRAY($B$4)=I34))</f>
        <v>0.42680547872147412</v>
      </c>
    </row>
    <row r="35" spans="1:14" x14ac:dyDescent="0.25">
      <c r="A35">
        <v>2</v>
      </c>
      <c r="B35" t="str">
        <v>ESTACION PUENTE MOLINO</v>
      </c>
      <c r="C35">
        <v>0.2</v>
      </c>
      <c r="D35">
        <v>2024</v>
      </c>
      <c r="E35" s="61">
        <v>2021</v>
      </c>
      <c r="F35" s="61">
        <v>0.52</v>
      </c>
      <c r="H35" s="1">
        <v>4</v>
      </c>
      <c r="I35" t="str">
        <f t="shared" si="4"/>
        <v>OMYA</v>
      </c>
      <c r="J35" s="46">
        <f t="shared" si="5"/>
        <v>16</v>
      </c>
      <c r="K35" s="10">
        <f t="shared" si="6"/>
        <v>0.04</v>
      </c>
      <c r="L35" s="10">
        <f t="shared" si="7"/>
        <v>0.26000000000000006</v>
      </c>
      <c r="M35" s="10">
        <f t="shared" si="8"/>
        <v>0.52</v>
      </c>
      <c r="N35" s="10" cm="1">
        <f t="array" ref="N35">_xlfn.STDEV.S(_xlfn._xlws.FILTER(_xlfn.ANCHORARRAY($C$4),_xlfn.ANCHORARRAY($B$4)=I35))</f>
        <v>0.1336662510384227</v>
      </c>
    </row>
    <row r="36" spans="1:14" x14ac:dyDescent="0.25">
      <c r="A36">
        <v>3</v>
      </c>
      <c r="B36" t="str">
        <v>ESTACION BOX COULVERT KM 24</v>
      </c>
      <c r="C36">
        <v>0.2</v>
      </c>
      <c r="D36">
        <v>2021</v>
      </c>
      <c r="E36" s="61">
        <v>2021</v>
      </c>
      <c r="F36" s="61">
        <v>0.5</v>
      </c>
      <c r="H36" s="1">
        <v>5</v>
      </c>
      <c r="I36" t="str">
        <f t="shared" si="4"/>
        <v>ESTACION RIOTEX</v>
      </c>
      <c r="J36" s="46">
        <f t="shared" si="5"/>
        <v>16</v>
      </c>
      <c r="K36" s="10">
        <f t="shared" ref="K36" si="9">_xlfn.MINIFS(_xlfn.ANCHORARRAY($C$4),_xlfn.ANCHORARRAY($B$4),I36)</f>
        <v>0.06</v>
      </c>
      <c r="L36" s="10">
        <f t="shared" ref="L36" si="10">SUMIFS(_xlfn.ANCHORARRAY($C$4),_xlfn.ANCHORARRAY($B$4),I36)/J36</f>
        <v>0.61375000000000002</v>
      </c>
      <c r="M36" s="10">
        <f t="shared" ref="M36" si="11">_xlfn.MAXIFS(_xlfn.ANCHORARRAY($C$4),_xlfn.ANCHORARRAY($B$4),I36)</f>
        <v>2</v>
      </c>
      <c r="N36" s="10" cm="1">
        <f t="array" ref="N36">_xlfn.STDEV.S(_xlfn._xlws.FILTER(_xlfn.ANCHORARRAY($C$4),_xlfn.ANCHORARRAY($B$4)=I36))</f>
        <v>0.47345362321280549</v>
      </c>
    </row>
    <row r="37" spans="1:14" x14ac:dyDescent="0.25">
      <c r="A37">
        <v>3</v>
      </c>
      <c r="B37" t="str">
        <v>ESTACION BOX COULVERT KM 24</v>
      </c>
      <c r="C37">
        <v>0.3</v>
      </c>
      <c r="D37">
        <v>2019</v>
      </c>
      <c r="E37" s="61">
        <v>2021</v>
      </c>
      <c r="F37" s="61">
        <v>0.54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BOX COULVERT KM 24</v>
      </c>
      <c r="C38">
        <v>0.9</v>
      </c>
      <c r="D38">
        <v>2020</v>
      </c>
      <c r="E38" s="61">
        <v>2021</v>
      </c>
      <c r="F38" s="61">
        <v>0.6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BOX COULVERT KM 24</v>
      </c>
      <c r="C39">
        <v>0.2</v>
      </c>
      <c r="D39">
        <v>2020</v>
      </c>
      <c r="E39" s="61">
        <v>2022</v>
      </c>
      <c r="F39" s="61">
        <v>0.1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BOX COULVERT KM 24</v>
      </c>
      <c r="C40">
        <v>0.4</v>
      </c>
      <c r="D40">
        <v>2020</v>
      </c>
      <c r="E40" s="61">
        <v>2022</v>
      </c>
      <c r="F40" s="61">
        <v>0.1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BOX COULVERT KM 24</v>
      </c>
      <c r="C41">
        <v>0.34</v>
      </c>
      <c r="D41">
        <v>2021</v>
      </c>
      <c r="E41" s="61">
        <v>2022</v>
      </c>
      <c r="F41" s="61">
        <v>0.16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BOX COULVERT KM 24</v>
      </c>
      <c r="C42">
        <v>0.57999999999999996</v>
      </c>
      <c r="D42">
        <v>2021</v>
      </c>
      <c r="E42" s="61">
        <v>2022</v>
      </c>
      <c r="F42" s="61">
        <v>0.14000000000000001</v>
      </c>
    </row>
    <row r="43" spans="1:14" x14ac:dyDescent="0.25">
      <c r="A43">
        <v>3</v>
      </c>
      <c r="B43" t="str">
        <v>ESTACION BOX COULVERT KM 24</v>
      </c>
      <c r="C43">
        <v>0.26</v>
      </c>
      <c r="D43">
        <v>2022</v>
      </c>
      <c r="E43" s="61">
        <v>2022</v>
      </c>
      <c r="F43" s="61">
        <v>0.46</v>
      </c>
    </row>
    <row r="44" spans="1:14" x14ac:dyDescent="0.25">
      <c r="A44">
        <v>3</v>
      </c>
      <c r="B44" t="str">
        <v>ESTACION BOX COULVERT KM 24</v>
      </c>
      <c r="C44">
        <v>0.28000000000000003</v>
      </c>
      <c r="D44">
        <v>2022</v>
      </c>
      <c r="E44" s="61">
        <v>2022</v>
      </c>
      <c r="F44" s="61">
        <v>0.28000000000000003</v>
      </c>
    </row>
    <row r="45" spans="1:14" x14ac:dyDescent="0.25">
      <c r="A45">
        <v>3</v>
      </c>
      <c r="B45" t="str">
        <v>ESTACION BOX COULVERT KM 24</v>
      </c>
      <c r="C45">
        <v>0.28000000000000003</v>
      </c>
      <c r="D45">
        <v>2022</v>
      </c>
      <c r="E45" s="61">
        <v>2022</v>
      </c>
      <c r="F45" s="61">
        <v>0.26</v>
      </c>
    </row>
    <row r="46" spans="1:14" x14ac:dyDescent="0.25">
      <c r="A46">
        <v>3</v>
      </c>
      <c r="B46" t="str">
        <v>ESTACION BOX COULVERT KM 24</v>
      </c>
      <c r="C46">
        <v>0.3</v>
      </c>
      <c r="D46">
        <v>2023</v>
      </c>
      <c r="E46" s="61">
        <v>2022</v>
      </c>
      <c r="F46" s="61">
        <v>0.28000000000000003</v>
      </c>
    </row>
    <row r="47" spans="1:14" x14ac:dyDescent="0.25">
      <c r="A47">
        <v>3</v>
      </c>
      <c r="B47" t="str">
        <v>ESTACION BOX COULVERT KM 24</v>
      </c>
      <c r="C47">
        <v>0.16</v>
      </c>
      <c r="D47">
        <v>2023</v>
      </c>
      <c r="E47" s="61">
        <v>2022</v>
      </c>
      <c r="F47" s="61">
        <v>0.28000000000000003</v>
      </c>
    </row>
    <row r="48" spans="1:14" x14ac:dyDescent="0.25">
      <c r="A48">
        <v>3</v>
      </c>
      <c r="B48" t="str">
        <v>ESTACION BOX COULVERT KM 24</v>
      </c>
      <c r="C48">
        <v>0.08</v>
      </c>
      <c r="D48">
        <v>2023</v>
      </c>
      <c r="E48" s="61">
        <v>2022</v>
      </c>
      <c r="F48" s="61">
        <v>0.28000000000000003</v>
      </c>
    </row>
    <row r="49" spans="1:6" x14ac:dyDescent="0.25">
      <c r="A49">
        <v>3</v>
      </c>
      <c r="B49" t="str">
        <v>ESTACION BOX COULVERT KM 24</v>
      </c>
      <c r="C49">
        <v>1.5</v>
      </c>
      <c r="D49">
        <v>2024</v>
      </c>
      <c r="E49" s="61">
        <v>2022</v>
      </c>
      <c r="F49" s="61">
        <v>0.12</v>
      </c>
    </row>
    <row r="50" spans="1:6" x14ac:dyDescent="0.25">
      <c r="A50">
        <v>3</v>
      </c>
      <c r="B50" t="str">
        <v>ESTACION BOX COULVERT KM 24</v>
      </c>
      <c r="C50">
        <v>0.23</v>
      </c>
      <c r="D50">
        <v>2024</v>
      </c>
      <c r="E50" s="61">
        <v>2022</v>
      </c>
      <c r="F50" s="61">
        <v>0.28000000000000003</v>
      </c>
    </row>
    <row r="51" spans="1:6" x14ac:dyDescent="0.25">
      <c r="A51">
        <v>3</v>
      </c>
      <c r="B51" t="str">
        <v>ESTACION BOX COULVERT KM 24</v>
      </c>
      <c r="C51">
        <v>1.38</v>
      </c>
      <c r="D51">
        <v>2024</v>
      </c>
      <c r="E51" s="61">
        <v>2022</v>
      </c>
      <c r="F51" s="61">
        <v>0.76</v>
      </c>
    </row>
    <row r="52" spans="1:6" x14ac:dyDescent="0.25">
      <c r="A52">
        <v>4</v>
      </c>
      <c r="B52" t="str">
        <v>OMYA</v>
      </c>
      <c r="C52">
        <v>0.2</v>
      </c>
      <c r="D52">
        <v>2021</v>
      </c>
      <c r="E52" s="61">
        <v>2022</v>
      </c>
      <c r="F52" s="61">
        <v>0.13</v>
      </c>
    </row>
    <row r="53" spans="1:6" x14ac:dyDescent="0.25">
      <c r="A53">
        <v>4</v>
      </c>
      <c r="B53" t="str">
        <v>OMYA</v>
      </c>
      <c r="C53">
        <v>0.2</v>
      </c>
      <c r="D53">
        <v>2019</v>
      </c>
      <c r="E53" s="61">
        <v>2022</v>
      </c>
      <c r="F53" s="61">
        <v>0.27</v>
      </c>
    </row>
    <row r="54" spans="1:6" x14ac:dyDescent="0.25">
      <c r="A54">
        <v>4</v>
      </c>
      <c r="B54" t="str">
        <v>OMYA</v>
      </c>
      <c r="C54">
        <v>0.4</v>
      </c>
      <c r="D54">
        <v>2020</v>
      </c>
      <c r="E54" s="61">
        <v>2023</v>
      </c>
      <c r="F54" s="61">
        <v>0.12</v>
      </c>
    </row>
    <row r="55" spans="1:6" x14ac:dyDescent="0.25">
      <c r="A55">
        <v>4</v>
      </c>
      <c r="B55" t="str">
        <v>OMYA</v>
      </c>
      <c r="C55">
        <v>0.2</v>
      </c>
      <c r="D55">
        <v>2020</v>
      </c>
      <c r="E55" s="61">
        <v>2023</v>
      </c>
      <c r="F55" s="61">
        <v>0.08</v>
      </c>
    </row>
    <row r="56" spans="1:6" x14ac:dyDescent="0.25">
      <c r="A56">
        <v>4</v>
      </c>
      <c r="B56" t="str">
        <v>OMYA</v>
      </c>
      <c r="C56">
        <v>0.2</v>
      </c>
      <c r="D56">
        <v>2020</v>
      </c>
      <c r="E56" s="61">
        <v>2023</v>
      </c>
      <c r="F56" s="61">
        <v>0.12</v>
      </c>
    </row>
    <row r="57" spans="1:6" x14ac:dyDescent="0.25">
      <c r="A57">
        <v>4</v>
      </c>
      <c r="B57" t="str">
        <v>OMYA</v>
      </c>
      <c r="C57">
        <v>0.22</v>
      </c>
      <c r="D57">
        <v>2021</v>
      </c>
      <c r="E57" s="61">
        <v>2023</v>
      </c>
      <c r="F57" s="61">
        <v>0.08</v>
      </c>
    </row>
    <row r="58" spans="1:6" x14ac:dyDescent="0.25">
      <c r="A58">
        <v>4</v>
      </c>
      <c r="B58" t="str">
        <v>OMYA</v>
      </c>
      <c r="C58">
        <v>0.52</v>
      </c>
      <c r="D58">
        <v>2021</v>
      </c>
      <c r="E58" s="61">
        <v>2023</v>
      </c>
      <c r="F58" s="61">
        <v>0.1</v>
      </c>
    </row>
    <row r="59" spans="1:6" x14ac:dyDescent="0.25">
      <c r="A59">
        <v>4</v>
      </c>
      <c r="B59" t="str">
        <v>OMYA</v>
      </c>
      <c r="C59">
        <v>0.28000000000000003</v>
      </c>
      <c r="D59">
        <v>2022</v>
      </c>
      <c r="E59" s="61">
        <v>2023</v>
      </c>
      <c r="F59" s="61">
        <v>0.12</v>
      </c>
    </row>
    <row r="60" spans="1:6" x14ac:dyDescent="0.25">
      <c r="A60">
        <v>4</v>
      </c>
      <c r="B60" t="str">
        <v>OMYA</v>
      </c>
      <c r="C60">
        <v>0.12</v>
      </c>
      <c r="D60">
        <v>2022</v>
      </c>
      <c r="E60" s="61">
        <v>2023</v>
      </c>
      <c r="F60" s="61">
        <v>0.3</v>
      </c>
    </row>
    <row r="61" spans="1:6" x14ac:dyDescent="0.25">
      <c r="A61">
        <v>4</v>
      </c>
      <c r="B61" t="str">
        <v>OMYA</v>
      </c>
      <c r="C61">
        <v>0.28000000000000003</v>
      </c>
      <c r="D61">
        <v>2022</v>
      </c>
      <c r="E61" s="61">
        <v>2023</v>
      </c>
      <c r="F61" s="61">
        <v>0.16</v>
      </c>
    </row>
    <row r="62" spans="1:6" x14ac:dyDescent="0.25">
      <c r="A62">
        <v>4</v>
      </c>
      <c r="B62" t="str">
        <v>OMYA</v>
      </c>
      <c r="C62">
        <v>0.28000000000000003</v>
      </c>
      <c r="D62">
        <v>2023</v>
      </c>
      <c r="E62" s="61">
        <v>2023</v>
      </c>
      <c r="F62" s="61">
        <v>0.08</v>
      </c>
    </row>
    <row r="63" spans="1:6" x14ac:dyDescent="0.25">
      <c r="A63">
        <v>4</v>
      </c>
      <c r="B63" t="str">
        <v>OMYA</v>
      </c>
      <c r="C63">
        <v>0.12</v>
      </c>
      <c r="D63">
        <v>2023</v>
      </c>
      <c r="E63" s="61">
        <v>2023</v>
      </c>
      <c r="F63" s="61">
        <v>0.28000000000000003</v>
      </c>
    </row>
    <row r="64" spans="1:6" x14ac:dyDescent="0.25">
      <c r="A64">
        <v>4</v>
      </c>
      <c r="B64" t="str">
        <v>OMYA</v>
      </c>
      <c r="C64">
        <v>0.04</v>
      </c>
      <c r="D64">
        <v>2023</v>
      </c>
      <c r="E64" s="61">
        <v>2023</v>
      </c>
      <c r="F64" s="61">
        <v>0.12</v>
      </c>
    </row>
    <row r="65" spans="1:6" x14ac:dyDescent="0.25">
      <c r="A65">
        <v>4</v>
      </c>
      <c r="B65" t="str">
        <v>OMYA</v>
      </c>
      <c r="C65">
        <v>0.46</v>
      </c>
      <c r="D65">
        <v>2024</v>
      </c>
      <c r="E65" s="61">
        <v>2023</v>
      </c>
      <c r="F65" s="61">
        <v>0.04</v>
      </c>
    </row>
    <row r="66" spans="1:6" x14ac:dyDescent="0.25">
      <c r="A66">
        <v>4</v>
      </c>
      <c r="B66" t="str">
        <v>OMYA</v>
      </c>
      <c r="C66">
        <v>0.2</v>
      </c>
      <c r="D66">
        <v>2024</v>
      </c>
      <c r="E66" s="61">
        <v>2023</v>
      </c>
      <c r="F66" s="61">
        <v>0.24</v>
      </c>
    </row>
    <row r="67" spans="1:6" x14ac:dyDescent="0.25">
      <c r="A67">
        <v>4</v>
      </c>
      <c r="B67" t="str">
        <v>OMYA</v>
      </c>
      <c r="C67">
        <v>0.44</v>
      </c>
      <c r="D67">
        <v>2024</v>
      </c>
      <c r="E67" s="61">
        <v>2023</v>
      </c>
      <c r="F67" s="61">
        <v>0.38</v>
      </c>
    </row>
    <row r="68" spans="1:6" x14ac:dyDescent="0.25">
      <c r="A68">
        <v>5</v>
      </c>
      <c r="B68" t="str">
        <v>ESTACION RIOTEX</v>
      </c>
      <c r="C68">
        <v>0.5</v>
      </c>
      <c r="D68">
        <v>2021</v>
      </c>
      <c r="E68" s="61">
        <v>2023</v>
      </c>
      <c r="F68" s="61">
        <v>0.06</v>
      </c>
    </row>
    <row r="69" spans="1:6" x14ac:dyDescent="0.25">
      <c r="A69">
        <v>5</v>
      </c>
      <c r="B69" t="str">
        <v>ESTACION RIOTEX</v>
      </c>
      <c r="C69">
        <v>0.7</v>
      </c>
      <c r="D69">
        <v>2019</v>
      </c>
      <c r="E69" s="61">
        <v>2024</v>
      </c>
      <c r="F69" s="61">
        <v>0.16</v>
      </c>
    </row>
    <row r="70" spans="1:6" x14ac:dyDescent="0.25">
      <c r="A70">
        <v>5</v>
      </c>
      <c r="B70" t="str">
        <v>ESTACION RIOTEX</v>
      </c>
      <c r="C70">
        <v>1.2</v>
      </c>
      <c r="D70">
        <v>2020</v>
      </c>
      <c r="E70" s="61">
        <v>2024</v>
      </c>
      <c r="F70" s="61">
        <v>0.16</v>
      </c>
    </row>
    <row r="71" spans="1:6" x14ac:dyDescent="0.25">
      <c r="A71">
        <v>5</v>
      </c>
      <c r="B71" t="str">
        <v>ESTACION RIOTEX</v>
      </c>
      <c r="C71">
        <v>0.4</v>
      </c>
      <c r="D71">
        <v>2020</v>
      </c>
      <c r="E71" s="61">
        <v>2024</v>
      </c>
      <c r="F71" s="61">
        <v>0.32</v>
      </c>
    </row>
    <row r="72" spans="1:6" x14ac:dyDescent="0.25">
      <c r="A72">
        <v>5</v>
      </c>
      <c r="B72" t="str">
        <v>ESTACION RIOTEX</v>
      </c>
      <c r="C72">
        <v>0.4</v>
      </c>
      <c r="D72">
        <v>2020</v>
      </c>
      <c r="E72" s="61">
        <v>2024</v>
      </c>
      <c r="F72" s="61">
        <v>0.3</v>
      </c>
    </row>
    <row r="73" spans="1:6" x14ac:dyDescent="0.25">
      <c r="A73">
        <v>5</v>
      </c>
      <c r="B73" t="str">
        <v>ESTACION RIOTEX</v>
      </c>
      <c r="C73">
        <v>0.54</v>
      </c>
      <c r="D73">
        <v>2021</v>
      </c>
      <c r="E73" s="61">
        <v>2024</v>
      </c>
      <c r="F73" s="61">
        <v>0.18</v>
      </c>
    </row>
    <row r="74" spans="1:6" x14ac:dyDescent="0.25">
      <c r="A74">
        <v>5</v>
      </c>
      <c r="B74" t="str">
        <v>ESTACION RIOTEX</v>
      </c>
      <c r="C74">
        <v>0.6</v>
      </c>
      <c r="D74">
        <v>2021</v>
      </c>
      <c r="E74" s="61">
        <v>2024</v>
      </c>
      <c r="F74" s="61">
        <v>0.2</v>
      </c>
    </row>
    <row r="75" spans="1:6" x14ac:dyDescent="0.25">
      <c r="A75">
        <v>5</v>
      </c>
      <c r="B75" t="str">
        <v>ESTACION RIOTEX</v>
      </c>
      <c r="C75">
        <v>0.76</v>
      </c>
      <c r="D75">
        <v>2022</v>
      </c>
      <c r="E75" s="61">
        <v>2024</v>
      </c>
      <c r="F75" s="61">
        <v>1.5</v>
      </c>
    </row>
    <row r="76" spans="1:6" x14ac:dyDescent="0.25">
      <c r="A76">
        <v>5</v>
      </c>
      <c r="B76" t="str">
        <v>ESTACION RIOTEX</v>
      </c>
      <c r="C76">
        <v>0.13</v>
      </c>
      <c r="D76">
        <v>2022</v>
      </c>
      <c r="E76" s="61">
        <v>2024</v>
      </c>
      <c r="F76" s="61">
        <v>0.23</v>
      </c>
    </row>
    <row r="77" spans="1:6" x14ac:dyDescent="0.25">
      <c r="A77">
        <v>5</v>
      </c>
      <c r="B77" t="str">
        <v>ESTACION RIOTEX</v>
      </c>
      <c r="C77">
        <v>0.27</v>
      </c>
      <c r="D77">
        <v>2022</v>
      </c>
      <c r="E77" s="61">
        <v>2024</v>
      </c>
      <c r="F77" s="61">
        <v>1.38</v>
      </c>
    </row>
    <row r="78" spans="1:6" x14ac:dyDescent="0.25">
      <c r="A78">
        <v>5</v>
      </c>
      <c r="B78" t="str">
        <v>ESTACION RIOTEX</v>
      </c>
      <c r="C78">
        <v>0.24</v>
      </c>
      <c r="D78">
        <v>2023</v>
      </c>
      <c r="E78" s="61">
        <v>2024</v>
      </c>
      <c r="F78" s="61">
        <v>0.46</v>
      </c>
    </row>
    <row r="79" spans="1:6" x14ac:dyDescent="0.25">
      <c r="A79">
        <v>5</v>
      </c>
      <c r="B79" t="str">
        <v>ESTACION RIOTEX</v>
      </c>
      <c r="C79">
        <v>0.38</v>
      </c>
      <c r="D79">
        <v>2023</v>
      </c>
      <c r="E79" s="61">
        <v>2024</v>
      </c>
      <c r="F79" s="61">
        <v>0.2</v>
      </c>
    </row>
    <row r="80" spans="1:6" x14ac:dyDescent="0.25">
      <c r="A80">
        <v>5</v>
      </c>
      <c r="B80" t="str">
        <v>ESTACION RIOTEX</v>
      </c>
      <c r="C80">
        <v>0.06</v>
      </c>
      <c r="D80">
        <v>2023</v>
      </c>
      <c r="E80" s="61">
        <v>2024</v>
      </c>
      <c r="F80" s="61">
        <v>0.44</v>
      </c>
    </row>
    <row r="81" spans="1:6" x14ac:dyDescent="0.25">
      <c r="A81">
        <v>5</v>
      </c>
      <c r="B81" t="str">
        <v>ESTACION RIOTEX</v>
      </c>
      <c r="C81">
        <v>2</v>
      </c>
      <c r="D81">
        <v>2024</v>
      </c>
      <c r="E81" s="61">
        <v>2024</v>
      </c>
      <c r="F81" s="61">
        <v>2</v>
      </c>
    </row>
    <row r="82" spans="1:6" x14ac:dyDescent="0.25">
      <c r="A82">
        <v>5</v>
      </c>
      <c r="B82" t="str">
        <v>ESTACION RIOTEX</v>
      </c>
      <c r="C82">
        <v>0.92</v>
      </c>
      <c r="D82">
        <v>2024</v>
      </c>
      <c r="E82" s="61">
        <v>2024</v>
      </c>
      <c r="F82" s="61">
        <v>0.92</v>
      </c>
    </row>
    <row r="83" spans="1:6" x14ac:dyDescent="0.25">
      <c r="A83">
        <v>5</v>
      </c>
      <c r="B83" t="str">
        <v>ESTACION RIOTEX</v>
      </c>
      <c r="C83">
        <v>0.72</v>
      </c>
      <c r="D83">
        <v>2024</v>
      </c>
      <c r="E83" s="61">
        <v>2024</v>
      </c>
      <c r="F83" s="61">
        <v>0.72</v>
      </c>
    </row>
    <row r="84" spans="1:6" x14ac:dyDescent="0.25">
      <c r="E84" s="61"/>
      <c r="F84" s="61"/>
    </row>
    <row r="85" spans="1:6" x14ac:dyDescent="0.25">
      <c r="E85" s="61"/>
      <c r="F85" s="61"/>
    </row>
    <row r="86" spans="1:6" x14ac:dyDescent="0.25">
      <c r="E86" s="61"/>
      <c r="F86" s="61"/>
    </row>
    <row r="87" spans="1:6" x14ac:dyDescent="0.25">
      <c r="E87" s="61"/>
      <c r="F87" s="61"/>
    </row>
    <row r="88" spans="1:6" x14ac:dyDescent="0.25">
      <c r="E88" s="61"/>
      <c r="F88" s="61"/>
    </row>
    <row r="89" spans="1:6" x14ac:dyDescent="0.25">
      <c r="E89" s="61"/>
      <c r="F89" s="61"/>
    </row>
    <row r="90" spans="1:6" x14ac:dyDescent="0.25">
      <c r="E90" s="61"/>
      <c r="F90" s="61"/>
    </row>
    <row r="91" spans="1:6" x14ac:dyDescent="0.25">
      <c r="E91" s="61"/>
      <c r="F91" s="61"/>
    </row>
    <row r="92" spans="1:6" x14ac:dyDescent="0.25">
      <c r="E92" s="61"/>
      <c r="F92" s="61"/>
    </row>
    <row r="93" spans="1:6" x14ac:dyDescent="0.25">
      <c r="E93" s="61"/>
      <c r="F93" s="61"/>
    </row>
    <row r="94" spans="1:6" x14ac:dyDescent="0.25">
      <c r="E94" s="61"/>
      <c r="F94" s="61"/>
    </row>
    <row r="95" spans="1:6" x14ac:dyDescent="0.25">
      <c r="E95" s="61"/>
      <c r="F95" s="61"/>
    </row>
    <row r="96" spans="1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83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5EB4-022E-4A00-9AC6-931B970169FE}">
  <sheetPr>
    <tabColor theme="5" tint="-0.249977111117893"/>
  </sheetPr>
  <dimension ref="A2:Y161"/>
  <sheetViews>
    <sheetView zoomScale="80" zoomScaleNormal="80" workbookViewId="0">
      <selection activeCell="W21" sqref="W21:Y21"/>
    </sheetView>
  </sheetViews>
  <sheetFormatPr baseColWidth="10" defaultColWidth="11.42578125" defaultRowHeight="15" x14ac:dyDescent="0.25"/>
  <cols>
    <col min="1" max="1" width="6.42578125" bestFit="1" customWidth="1"/>
    <col min="2" max="2" width="68.140625" bestFit="1" customWidth="1"/>
    <col min="7" max="7" width="3.5703125" customWidth="1"/>
    <col min="8" max="8" width="7.28515625" customWidth="1"/>
    <col min="9" max="9" width="15" customWidth="1"/>
  </cols>
  <sheetData>
    <row r="2" spans="1:23" x14ac:dyDescent="0.25">
      <c r="A2" s="132" t="s">
        <v>103</v>
      </c>
      <c r="B2" s="132"/>
      <c r="C2" s="132"/>
      <c r="D2" s="132"/>
      <c r="E2" s="132"/>
      <c r="F2" s="132"/>
      <c r="H2" s="132" t="s">
        <v>552</v>
      </c>
      <c r="I2" s="132"/>
      <c r="J2" s="132"/>
      <c r="K2" s="132"/>
      <c r="L2" s="132"/>
      <c r="M2" s="132"/>
      <c r="N2" s="132"/>
      <c r="O2" s="132" t="s">
        <v>553</v>
      </c>
      <c r="P2" s="132"/>
      <c r="Q2" s="132"/>
      <c r="R2" s="132"/>
      <c r="S2" s="132"/>
      <c r="T2" s="132"/>
      <c r="U2" s="132" t="s">
        <v>554</v>
      </c>
      <c r="V2" s="132"/>
      <c r="W2" s="132"/>
    </row>
    <row r="3" spans="1:23" x14ac:dyDescent="0.25">
      <c r="A3" s="51" t="s">
        <v>555</v>
      </c>
      <c r="B3" s="51" t="s">
        <v>556</v>
      </c>
      <c r="C3" s="51" t="str">
        <f>H30</f>
        <v>λ=620 (m⁻¹)</v>
      </c>
      <c r="D3" s="51" t="s">
        <v>21</v>
      </c>
      <c r="E3" s="60" t="s">
        <v>21</v>
      </c>
      <c r="F3" s="60" t="s">
        <v>557</v>
      </c>
      <c r="G3" s="47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x14ac:dyDescent="0.25">
      <c r="A4" cm="1">
        <f t="array" ref="A4:A83">_xlfn._xlws.FILTER(CHOOSE(1,'Resultados historicos'!C:C,'Resultados historicos'!D:D,'Resultados historicos'!O:O,'Resultados historicos'!A:A),'Resultados historicos'!H:H=A2)</f>
        <v>1</v>
      </c>
      <c r="B4" t="str" cm="1">
        <f t="array" ref="B4:B83">_xlfn._xlws.FILTER(CHOOSE(2,'Resultados historicos'!C:C,'Resultados historicos'!D:D,'Resultados historicos'!O:O,'Resultados historicos'!A:A),'Resultados historicos'!H:H=A2)</f>
        <v>ROMERAL</v>
      </c>
      <c r="C4" cm="1">
        <f t="array" ref="C4:C83">_xlfn._xlws.FILTER(CHOOSE(3,'Resultados historicos'!C:C,'Resultados historicos'!D:D,'Resultados historicos'!Q:Q,'Resultados historicos'!A:A),'Resultados historicos'!H:H=A2)</f>
        <v>0.08</v>
      </c>
      <c r="D4" cm="1">
        <f t="array" ref="D4:D83">_xlfn._xlws.FILTER(CHOOSE(4,'Resultados historicos'!C:C,'Resultados historicos'!D:D,'Resultados historicos'!O:O,'Resultados historicos'!A:A),'Resultados historicos'!H:H=A2)</f>
        <v>2024</v>
      </c>
      <c r="E4" s="61">
        <v>2019</v>
      </c>
      <c r="F4" s="61">
        <v>0.1</v>
      </c>
      <c r="G4" s="47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</row>
    <row r="5" spans="1:23" x14ac:dyDescent="0.25">
      <c r="A5">
        <v>1</v>
      </c>
      <c r="B5" t="str">
        <v>ROMERAL</v>
      </c>
      <c r="C5">
        <v>0.16</v>
      </c>
      <c r="D5">
        <v>2024</v>
      </c>
      <c r="E5" s="61">
        <v>2019</v>
      </c>
      <c r="F5" s="61">
        <v>0.1</v>
      </c>
      <c r="G5" s="47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</row>
    <row r="6" spans="1:23" x14ac:dyDescent="0.25">
      <c r="A6">
        <v>1</v>
      </c>
      <c r="B6" t="str">
        <v>ROMERAL</v>
      </c>
      <c r="C6">
        <v>0.2</v>
      </c>
      <c r="D6">
        <v>2024</v>
      </c>
      <c r="E6" s="61">
        <v>2019</v>
      </c>
      <c r="F6" s="61">
        <v>0.1</v>
      </c>
      <c r="G6" s="47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spans="1:23" x14ac:dyDescent="0.25">
      <c r="A7">
        <v>1</v>
      </c>
      <c r="B7" t="str">
        <v>ROMERAL</v>
      </c>
      <c r="C7">
        <v>0.2</v>
      </c>
      <c r="D7">
        <v>2021</v>
      </c>
      <c r="E7" s="61">
        <v>2019</v>
      </c>
      <c r="F7" s="61">
        <v>0.1</v>
      </c>
      <c r="G7" s="47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</row>
    <row r="8" spans="1:23" x14ac:dyDescent="0.25">
      <c r="A8">
        <v>1</v>
      </c>
      <c r="B8" t="str">
        <v>ROMERAL</v>
      </c>
      <c r="C8">
        <v>0.1</v>
      </c>
      <c r="D8">
        <v>2019</v>
      </c>
      <c r="E8" s="61">
        <v>2019</v>
      </c>
      <c r="F8" s="61">
        <v>0.4</v>
      </c>
      <c r="G8" s="47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</row>
    <row r="9" spans="1:23" x14ac:dyDescent="0.25">
      <c r="A9">
        <v>1</v>
      </c>
      <c r="B9" t="str">
        <v>ROMERAL</v>
      </c>
      <c r="C9">
        <v>0.1</v>
      </c>
      <c r="D9">
        <v>2020</v>
      </c>
      <c r="E9" s="61">
        <v>2020</v>
      </c>
      <c r="F9" s="61">
        <v>0.1</v>
      </c>
      <c r="G9" s="47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</row>
    <row r="10" spans="1:23" x14ac:dyDescent="0.25">
      <c r="A10">
        <v>1</v>
      </c>
      <c r="B10" t="str">
        <v>ROMERAL</v>
      </c>
      <c r="C10">
        <v>0.1</v>
      </c>
      <c r="D10">
        <v>2020</v>
      </c>
      <c r="E10" s="61">
        <v>2020</v>
      </c>
      <c r="F10" s="61">
        <v>0.1</v>
      </c>
      <c r="G10" s="47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</row>
    <row r="11" spans="1:23" x14ac:dyDescent="0.25">
      <c r="A11">
        <v>1</v>
      </c>
      <c r="B11" t="str">
        <v>ROMERAL</v>
      </c>
      <c r="C11">
        <v>0.2</v>
      </c>
      <c r="D11">
        <v>2020</v>
      </c>
      <c r="E11" s="61">
        <v>2020</v>
      </c>
      <c r="F11" s="61">
        <v>0.2</v>
      </c>
      <c r="G11" s="47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</row>
    <row r="12" spans="1:23" x14ac:dyDescent="0.25">
      <c r="A12">
        <v>1</v>
      </c>
      <c r="B12" t="str">
        <v>ROMERAL</v>
      </c>
      <c r="C12">
        <v>0.06</v>
      </c>
      <c r="D12">
        <v>2021</v>
      </c>
      <c r="E12" s="61">
        <v>2020</v>
      </c>
      <c r="F12" s="61">
        <v>0.1</v>
      </c>
      <c r="G12" s="47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</row>
    <row r="13" spans="1:23" x14ac:dyDescent="0.25">
      <c r="A13">
        <v>1</v>
      </c>
      <c r="B13" t="str">
        <v>ROMERAL</v>
      </c>
      <c r="C13">
        <v>0.22</v>
      </c>
      <c r="D13">
        <v>2021</v>
      </c>
      <c r="E13" s="61">
        <v>2020</v>
      </c>
      <c r="F13" s="61">
        <v>0.1</v>
      </c>
      <c r="G13" s="47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</row>
    <row r="14" spans="1:23" x14ac:dyDescent="0.25">
      <c r="A14">
        <v>1</v>
      </c>
      <c r="B14" t="str">
        <v>ROMERAL</v>
      </c>
      <c r="C14">
        <v>0.04</v>
      </c>
      <c r="D14">
        <v>2022</v>
      </c>
      <c r="E14" s="61">
        <v>2020</v>
      </c>
      <c r="F14" s="61">
        <v>0.2</v>
      </c>
      <c r="G14" s="46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3" x14ac:dyDescent="0.25">
      <c r="A15">
        <v>1</v>
      </c>
      <c r="B15" t="str">
        <v>ROMERAL</v>
      </c>
      <c r="C15">
        <v>0.08</v>
      </c>
      <c r="D15">
        <v>2022</v>
      </c>
      <c r="E15" s="61">
        <v>2020</v>
      </c>
      <c r="F15" s="61">
        <v>0.6</v>
      </c>
      <c r="G15" s="46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</row>
    <row r="16" spans="1:23" x14ac:dyDescent="0.25">
      <c r="A16">
        <v>1</v>
      </c>
      <c r="B16" t="str">
        <v>ROMERAL</v>
      </c>
      <c r="C16">
        <v>0.06</v>
      </c>
      <c r="D16">
        <v>2022</v>
      </c>
      <c r="E16" s="61">
        <v>2020</v>
      </c>
      <c r="F16" s="61">
        <v>0.1</v>
      </c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</row>
    <row r="17" spans="1:25" x14ac:dyDescent="0.25">
      <c r="A17">
        <v>1</v>
      </c>
      <c r="B17" t="str">
        <v>ROMERAL</v>
      </c>
      <c r="C17">
        <v>0.06</v>
      </c>
      <c r="D17">
        <v>2023</v>
      </c>
      <c r="E17" s="61">
        <v>2020</v>
      </c>
      <c r="F17" s="61">
        <v>0.3</v>
      </c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</row>
    <row r="18" spans="1:25" x14ac:dyDescent="0.25">
      <c r="A18">
        <v>1</v>
      </c>
      <c r="B18" t="str">
        <v>ROMERAL</v>
      </c>
      <c r="C18">
        <v>0.02</v>
      </c>
      <c r="D18">
        <v>2023</v>
      </c>
      <c r="E18" s="61">
        <v>2020</v>
      </c>
      <c r="F18" s="61">
        <v>0.2</v>
      </c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</row>
    <row r="19" spans="1:25" x14ac:dyDescent="0.25">
      <c r="A19">
        <v>1</v>
      </c>
      <c r="B19" t="str">
        <v>ROMERAL</v>
      </c>
      <c r="C19">
        <v>0.08</v>
      </c>
      <c r="D19">
        <v>2023</v>
      </c>
      <c r="E19" s="61">
        <v>2020</v>
      </c>
      <c r="F19" s="61">
        <v>0.1</v>
      </c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</row>
    <row r="20" spans="1:25" x14ac:dyDescent="0.25">
      <c r="A20">
        <v>2</v>
      </c>
      <c r="B20" t="str">
        <v>ESTACION PUENTE MOLINO</v>
      </c>
      <c r="C20">
        <v>0.2</v>
      </c>
      <c r="D20">
        <v>2021</v>
      </c>
      <c r="E20" s="61">
        <v>2020</v>
      </c>
      <c r="F20" s="61">
        <v>0.1</v>
      </c>
      <c r="H20" s="131"/>
      <c r="I20" s="131"/>
      <c r="J20" s="131"/>
      <c r="K20" s="131"/>
      <c r="L20" s="131"/>
      <c r="M20" s="131"/>
      <c r="N20" s="131"/>
    </row>
    <row r="21" spans="1:25" x14ac:dyDescent="0.25">
      <c r="A21">
        <v>2</v>
      </c>
      <c r="B21" t="str">
        <v>ESTACION PUENTE MOLINO</v>
      </c>
      <c r="C21">
        <v>0.1</v>
      </c>
      <c r="D21">
        <v>2019</v>
      </c>
      <c r="E21" s="61">
        <v>2020</v>
      </c>
      <c r="F21" s="61">
        <v>0.9</v>
      </c>
      <c r="H21" s="131"/>
      <c r="I21" s="131"/>
      <c r="J21" s="131"/>
      <c r="K21" s="131"/>
      <c r="L21" s="131"/>
      <c r="M21" s="131"/>
      <c r="N21" s="131"/>
      <c r="O21" s="137" t="str">
        <f>H30</f>
        <v>λ=620 (m⁻¹)</v>
      </c>
      <c r="P21" s="137"/>
      <c r="Q21" s="137"/>
      <c r="R21" s="137"/>
      <c r="S21" s="137"/>
      <c r="T21" s="137"/>
      <c r="W21" s="138" t="str">
        <f>O21</f>
        <v>λ=620 (m⁻¹)</v>
      </c>
      <c r="X21" s="138"/>
      <c r="Y21" s="138"/>
    </row>
    <row r="22" spans="1:25" x14ac:dyDescent="0.25">
      <c r="A22">
        <v>2</v>
      </c>
      <c r="B22" t="str">
        <v>ESTACION PUENTE MOLINO</v>
      </c>
      <c r="C22">
        <v>0.1</v>
      </c>
      <c r="D22">
        <v>2020</v>
      </c>
      <c r="E22" s="61">
        <v>2020</v>
      </c>
      <c r="F22" s="61">
        <v>0.2</v>
      </c>
      <c r="H22" s="131"/>
      <c r="I22" s="131"/>
      <c r="J22" s="131"/>
      <c r="K22" s="131"/>
      <c r="L22" s="131"/>
      <c r="M22" s="131"/>
      <c r="N22" s="131"/>
      <c r="O22" s="53" t="s">
        <v>21</v>
      </c>
      <c r="P22" s="53" t="str">
        <f>J31</f>
        <v>n</v>
      </c>
      <c r="Q22" s="53" t="str">
        <f>K31</f>
        <v>Mín</v>
      </c>
      <c r="R22" s="53" t="str">
        <f>L31</f>
        <v>Media</v>
      </c>
      <c r="S22" s="53" t="str">
        <f>M31</f>
        <v>Max</v>
      </c>
      <c r="T22" s="53" t="str">
        <f>N31</f>
        <v>DS</v>
      </c>
      <c r="V22" s="52" t="s">
        <v>558</v>
      </c>
      <c r="W22" s="51" t="s">
        <v>559</v>
      </c>
      <c r="X22" s="51" t="s">
        <v>560</v>
      </c>
      <c r="Y22" s="51" t="s">
        <v>561</v>
      </c>
    </row>
    <row r="23" spans="1:25" x14ac:dyDescent="0.25">
      <c r="A23">
        <v>2</v>
      </c>
      <c r="B23" t="str">
        <v>ESTACION PUENTE MOLINO</v>
      </c>
      <c r="C23">
        <v>0.1</v>
      </c>
      <c r="D23">
        <v>2020</v>
      </c>
      <c r="E23" s="61">
        <v>2020</v>
      </c>
      <c r="F23" s="61">
        <v>0.2</v>
      </c>
      <c r="H23" s="131"/>
      <c r="I23" s="131"/>
      <c r="J23" s="131"/>
      <c r="K23" s="131"/>
      <c r="L23" s="131"/>
      <c r="M23" s="131"/>
      <c r="N23" s="131"/>
      <c r="O23" s="1" cm="1">
        <f t="array" ref="O23:O28">_xlfn._xlws.SORT(_xlfn.UNIQUE(_xlfn.ANCHORARRAY(D4)))</f>
        <v>2019</v>
      </c>
      <c r="P23" s="1">
        <f t="shared" ref="P23:P28" si="0">COUNTIF(_xlfn.ANCHORARRAY($D$4),O23)</f>
        <v>5</v>
      </c>
      <c r="Q23" s="10">
        <f t="shared" ref="Q23:Q28" si="1">_xlfn.MINIFS(_xlfn.ANCHORARRAY($C$4),_xlfn.ANCHORARRAY($D$4),O23)</f>
        <v>0.1</v>
      </c>
      <c r="R23" s="10">
        <f t="shared" ref="R23:R28" si="2">SUMIFS(_xlfn.ANCHORARRAY($C$4),_xlfn.ANCHORARRAY($D$4),O23)/P23</f>
        <v>0.16</v>
      </c>
      <c r="S23" s="10">
        <f t="shared" ref="S23:S28" si="3">_xlfn.MAXIFS(_xlfn.ANCHORARRAY($C$4),_xlfn.ANCHORARRAY($D$4),O23)</f>
        <v>0.4</v>
      </c>
      <c r="T23" s="10" cm="1">
        <f t="array" ref="T23">_xlfn.STDEV.S(_xlfn._xlws.FILTER(_xlfn.ANCHORARRAY($C$4),_xlfn.ANCHORARRAY($D$4)=O23))</f>
        <v>0.13416407864998739</v>
      </c>
      <c r="V23" t="s">
        <v>562</v>
      </c>
      <c r="W23" s="63">
        <v>0.9</v>
      </c>
      <c r="X23" s="63">
        <v>0.95</v>
      </c>
      <c r="Y23" s="63">
        <v>0.99</v>
      </c>
    </row>
    <row r="24" spans="1:25" x14ac:dyDescent="0.25">
      <c r="A24">
        <v>2</v>
      </c>
      <c r="B24" t="str">
        <v>ESTACION PUENTE MOLINO</v>
      </c>
      <c r="C24">
        <v>0.2</v>
      </c>
      <c r="D24">
        <v>2020</v>
      </c>
      <c r="E24" s="61">
        <v>2021</v>
      </c>
      <c r="F24" s="61">
        <v>0.2</v>
      </c>
      <c r="H24" s="131"/>
      <c r="I24" s="131"/>
      <c r="J24" s="131"/>
      <c r="K24" s="131"/>
      <c r="L24" s="131"/>
      <c r="M24" s="131"/>
      <c r="N24" s="131"/>
      <c r="O24" s="1">
        <v>2020</v>
      </c>
      <c r="P24" s="1">
        <f t="shared" si="0"/>
        <v>15</v>
      </c>
      <c r="Q24" s="10">
        <f t="shared" si="1"/>
        <v>0.1</v>
      </c>
      <c r="R24" s="10">
        <f t="shared" si="2"/>
        <v>0.23333333333333336</v>
      </c>
      <c r="S24" s="10">
        <f t="shared" si="3"/>
        <v>0.9</v>
      </c>
      <c r="T24" s="10" cm="1">
        <f t="array" ref="T24">_xlfn.STDEV.S(_xlfn._xlws.FILTER(_xlfn.ANCHORARRAY($C$4),_xlfn.ANCHORARRAY($D$4)=O24))</f>
        <v>0.22572634084745394</v>
      </c>
      <c r="V24" t="s">
        <v>563</v>
      </c>
      <c r="W24" s="10">
        <f>1-W23</f>
        <v>9.9999999999999978E-2</v>
      </c>
      <c r="X24" s="10">
        <f>1-X23</f>
        <v>5.0000000000000044E-2</v>
      </c>
      <c r="Y24" s="10">
        <f>1-Y23</f>
        <v>1.0000000000000009E-2</v>
      </c>
    </row>
    <row r="25" spans="1:25" x14ac:dyDescent="0.25">
      <c r="A25">
        <v>2</v>
      </c>
      <c r="B25" t="str">
        <v>ESTACION PUENTE MOLINO</v>
      </c>
      <c r="C25">
        <v>0.06</v>
      </c>
      <c r="D25">
        <v>2021</v>
      </c>
      <c r="E25" s="61">
        <v>2021</v>
      </c>
      <c r="F25" s="61">
        <v>0.06</v>
      </c>
      <c r="H25" s="131"/>
      <c r="I25" s="131"/>
      <c r="J25" s="131"/>
      <c r="K25" s="131"/>
      <c r="L25" s="131"/>
      <c r="M25" s="131"/>
      <c r="N25" s="131"/>
      <c r="O25" s="1">
        <v>2021</v>
      </c>
      <c r="P25" s="1">
        <f t="shared" si="0"/>
        <v>15</v>
      </c>
      <c r="Q25" s="10">
        <f t="shared" si="1"/>
        <v>0.06</v>
      </c>
      <c r="R25" s="10">
        <f t="shared" si="2"/>
        <v>0.19866666666666666</v>
      </c>
      <c r="S25" s="10">
        <f t="shared" si="3"/>
        <v>0.4</v>
      </c>
      <c r="T25" s="10" cm="1">
        <f t="array" ref="T25">_xlfn.STDEV.S(_xlfn._xlws.FILTER(_xlfn.ANCHORARRAY($C$4),_xlfn.ANCHORARRAY($D$4)=O25))</f>
        <v>0.11400918927040593</v>
      </c>
      <c r="V25" t="s">
        <v>564</v>
      </c>
      <c r="W25" s="10">
        <f>_xlfn.NORM.S.INV(1-(W24/2))</f>
        <v>1.6448536269514715</v>
      </c>
      <c r="X25" s="10">
        <f>_xlfn.NORM.S.INV(1-(X24/2))</f>
        <v>1.9599639845400536</v>
      </c>
      <c r="Y25" s="10">
        <f>_xlfn.NORM.S.INV(1-(Y24/2))</f>
        <v>2.5758293035488999</v>
      </c>
    </row>
    <row r="26" spans="1:25" x14ac:dyDescent="0.25">
      <c r="A26">
        <v>2</v>
      </c>
      <c r="B26" t="str">
        <v>ESTACION PUENTE MOLINO</v>
      </c>
      <c r="C26">
        <v>0.18</v>
      </c>
      <c r="D26">
        <v>2021</v>
      </c>
      <c r="E26" s="61">
        <v>2021</v>
      </c>
      <c r="F26" s="61">
        <v>0.22</v>
      </c>
      <c r="H26" s="131"/>
      <c r="I26" s="131"/>
      <c r="J26" s="131"/>
      <c r="K26" s="131"/>
      <c r="L26" s="131"/>
      <c r="M26" s="131"/>
      <c r="N26" s="131"/>
      <c r="O26" s="1">
        <v>2022</v>
      </c>
      <c r="P26" s="1">
        <f t="shared" si="0"/>
        <v>15</v>
      </c>
      <c r="Q26" s="10">
        <f t="shared" si="1"/>
        <v>0.04</v>
      </c>
      <c r="R26" s="10">
        <f t="shared" si="2"/>
        <v>0.16999999999999998</v>
      </c>
      <c r="S26" s="10">
        <f t="shared" si="3"/>
        <v>0.57999999999999996</v>
      </c>
      <c r="T26" s="10" cm="1">
        <f t="array" ref="T26">_xlfn.STDEV.S(_xlfn._xlws.FILTER(_xlfn.ANCHORARRAY($C$4),_xlfn.ANCHORARRAY($D$4)=O26))</f>
        <v>0.14367622330384786</v>
      </c>
      <c r="V26" t="s">
        <v>565</v>
      </c>
      <c r="W26" s="1" t="str">
        <f>TEXT(R29,"0,00")&amp;" ± "&amp;TEXT((W25*T29/SQRT(P29)),"0,00")</f>
        <v>0,22 ± 0,05</v>
      </c>
      <c r="X26" s="1" t="str">
        <f>TEXT(R29,"0,00")&amp;" ± "&amp;TEXT((X25*T29/SQRT(P29)),"0,00")</f>
        <v>0,22 ± 0,05</v>
      </c>
      <c r="Y26" s="1" t="str">
        <f>TEXT(R29,"0,00")&amp;" ± "&amp;TEXT((Y25*T29/SQRT(P29)),"0,00")</f>
        <v>0,22 ± 0,07</v>
      </c>
    </row>
    <row r="27" spans="1:25" x14ac:dyDescent="0.25">
      <c r="A27">
        <v>2</v>
      </c>
      <c r="B27" t="str">
        <v>ESTACION PUENTE MOLINO</v>
      </c>
      <c r="C27">
        <v>0.04</v>
      </c>
      <c r="D27">
        <v>2022</v>
      </c>
      <c r="E27" s="61">
        <v>2021</v>
      </c>
      <c r="F27" s="61">
        <v>0.2</v>
      </c>
      <c r="H27" s="131"/>
      <c r="I27" s="131"/>
      <c r="J27" s="131"/>
      <c r="K27" s="131"/>
      <c r="L27" s="131"/>
      <c r="M27" s="131"/>
      <c r="N27" s="131"/>
      <c r="O27" s="1">
        <v>2023</v>
      </c>
      <c r="P27" s="1">
        <f t="shared" si="0"/>
        <v>15</v>
      </c>
      <c r="Q27" s="10">
        <f t="shared" si="1"/>
        <v>0.02</v>
      </c>
      <c r="R27" s="10">
        <f t="shared" si="2"/>
        <v>9.0666666666666659E-2</v>
      </c>
      <c r="S27" s="10">
        <f t="shared" si="3"/>
        <v>0.4</v>
      </c>
      <c r="T27" s="10" cm="1">
        <f t="array" ref="T27">_xlfn.STDEV.S(_xlfn._xlws.FILTER(_xlfn.ANCHORARRAY($C$4),_xlfn.ANCHORARRAY($D$4)=O27))</f>
        <v>9.7648543743560773E-2</v>
      </c>
      <c r="V27" t="s">
        <v>566</v>
      </c>
      <c r="W27" s="10">
        <f>R29-(W25*T29/SQRT(P29))</f>
        <v>0.17090056296981335</v>
      </c>
      <c r="X27" s="10">
        <f>R29-(X25*T29/SQRT(P29))</f>
        <v>0.16211702608781481</v>
      </c>
      <c r="Y27" s="10">
        <f>R29-(Y25*T29/SQRT(P29))</f>
        <v>0.14495010150540943</v>
      </c>
    </row>
    <row r="28" spans="1:25" x14ac:dyDescent="0.25">
      <c r="A28">
        <v>2</v>
      </c>
      <c r="B28" t="str">
        <v>ESTACION PUENTE MOLINO</v>
      </c>
      <c r="C28">
        <v>0.22</v>
      </c>
      <c r="D28">
        <v>2022</v>
      </c>
      <c r="E28" s="61">
        <v>2021</v>
      </c>
      <c r="F28" s="61">
        <v>0.06</v>
      </c>
      <c r="H28" s="131"/>
      <c r="I28" s="131"/>
      <c r="J28" s="131"/>
      <c r="K28" s="131"/>
      <c r="L28" s="131"/>
      <c r="M28" s="131"/>
      <c r="N28" s="131"/>
      <c r="O28" s="1">
        <v>2024</v>
      </c>
      <c r="P28" s="1">
        <f t="shared" si="0"/>
        <v>15</v>
      </c>
      <c r="Q28" s="10">
        <f t="shared" si="1"/>
        <v>0.08</v>
      </c>
      <c r="R28" s="10">
        <f t="shared" si="2"/>
        <v>0.41</v>
      </c>
      <c r="S28" s="10">
        <f t="shared" si="3"/>
        <v>1.46</v>
      </c>
      <c r="T28" s="10" cm="1">
        <f t="array" ref="T28">_xlfn.STDEV.S(_xlfn._xlws.FILTER(_xlfn.ANCHORARRAY($C$4),_xlfn.ANCHORARRAY($D$4)=O28))</f>
        <v>0.43623388222374482</v>
      </c>
      <c r="V28" t="s">
        <v>567</v>
      </c>
      <c r="W28" s="10">
        <f>R29+(W25*T29/SQRT(P29))</f>
        <v>0.26259943703018657</v>
      </c>
      <c r="X28" s="10">
        <f>R29+(X25*T29/SQRT(P29))</f>
        <v>0.27138297391218508</v>
      </c>
      <c r="Y28" s="10">
        <f>R29+(Y25*T29/SQRT(P29))</f>
        <v>0.28854989849459045</v>
      </c>
    </row>
    <row r="29" spans="1:25" x14ac:dyDescent="0.25">
      <c r="A29">
        <v>2</v>
      </c>
      <c r="B29" t="str">
        <v>ESTACION PUENTE MOLINO</v>
      </c>
      <c r="C29">
        <v>0.14000000000000001</v>
      </c>
      <c r="D29">
        <v>2022</v>
      </c>
      <c r="E29" s="61">
        <v>2021</v>
      </c>
      <c r="F29" s="61">
        <v>0.18</v>
      </c>
      <c r="O29" t="s">
        <v>568</v>
      </c>
      <c r="P29" s="1">
        <f>SUM(P23:P28)</f>
        <v>80</v>
      </c>
      <c r="R29" s="10">
        <f>AVERAGE(_xlfn.ANCHORARRAY(C4))</f>
        <v>0.21674999999999994</v>
      </c>
      <c r="T29" s="10">
        <f>_xlfn.STDEV.S(_xlfn.ANCHORARRAY(C4))</f>
        <v>0.24931691489073288</v>
      </c>
    </row>
    <row r="30" spans="1:25" x14ac:dyDescent="0.25">
      <c r="A30">
        <v>2</v>
      </c>
      <c r="B30" t="str">
        <v>ESTACION PUENTE MOLINO</v>
      </c>
      <c r="C30">
        <v>0.02</v>
      </c>
      <c r="D30">
        <v>2023</v>
      </c>
      <c r="E30" s="61">
        <v>2021</v>
      </c>
      <c r="F30" s="61">
        <v>0.1</v>
      </c>
      <c r="H30" s="137" t="str">
        <f>'Estadistico resumen'!$O$1</f>
        <v>λ=620 (m⁻¹)</v>
      </c>
      <c r="I30" s="137"/>
      <c r="J30" s="137"/>
      <c r="K30" s="137"/>
      <c r="L30" s="137"/>
      <c r="M30" s="137"/>
      <c r="N30" s="137"/>
    </row>
    <row r="31" spans="1:25" x14ac:dyDescent="0.25">
      <c r="A31">
        <v>2</v>
      </c>
      <c r="B31" t="str">
        <v>ESTACION PUENTE MOLINO</v>
      </c>
      <c r="C31">
        <v>0.04</v>
      </c>
      <c r="D31">
        <v>2023</v>
      </c>
      <c r="E31" s="61">
        <v>2021</v>
      </c>
      <c r="F31" s="61">
        <v>0.2</v>
      </c>
      <c r="H31" s="52" t="s">
        <v>555</v>
      </c>
      <c r="I31" s="52" t="s">
        <v>556</v>
      </c>
      <c r="J31" s="53" t="str">
        <f>'Estadistico resumen'!$D$2</f>
        <v>n</v>
      </c>
      <c r="K31" s="53" t="s">
        <v>569</v>
      </c>
      <c r="L31" s="53" t="s">
        <v>570</v>
      </c>
      <c r="M31" s="53" t="s">
        <v>571</v>
      </c>
      <c r="N31" s="53" t="s">
        <v>572</v>
      </c>
    </row>
    <row r="32" spans="1:25" x14ac:dyDescent="0.25">
      <c r="A32">
        <v>2</v>
      </c>
      <c r="B32" t="str">
        <v>ESTACION PUENTE MOLINO</v>
      </c>
      <c r="C32">
        <v>0.1</v>
      </c>
      <c r="D32">
        <v>2023</v>
      </c>
      <c r="E32" s="61">
        <v>2021</v>
      </c>
      <c r="F32" s="61">
        <v>0.36</v>
      </c>
      <c r="H32" s="1" cm="1">
        <f t="array" ref="H32:H36">_xlfn._xlws.SORT(_xlfn.UNIQUE(_xlfn.ANCHORARRAY(A4)))</f>
        <v>1</v>
      </c>
      <c r="I32" t="str">
        <f>IFERROR(VLOOKUP(H32,$A$4:$B$161,2),"")</f>
        <v>ROMERAL</v>
      </c>
      <c r="J32" s="46">
        <f>COUNTIF(_xlfn.ANCHORARRAY($B$4),I32)</f>
        <v>16</v>
      </c>
      <c r="K32" s="10">
        <f>_xlfn.MINIFS(_xlfn.ANCHORARRAY($C$4),_xlfn.ANCHORARRAY($B$4),I32)</f>
        <v>0.02</v>
      </c>
      <c r="L32" s="10">
        <f>SUMIFS(_xlfn.ANCHORARRAY($C$4),_xlfn.ANCHORARRAY($B$4),I32)/J32</f>
        <v>0.11000000000000001</v>
      </c>
      <c r="M32" s="10">
        <f>_xlfn.MAXIFS(_xlfn.ANCHORARRAY($C$4),_xlfn.ANCHORARRAY($B$4),I32)</f>
        <v>0.22</v>
      </c>
      <c r="N32" s="10" cm="1">
        <f t="array" ref="N32">_xlfn.STDEV.S(_xlfn._xlws.FILTER(_xlfn.ANCHORARRAY($C$4),_xlfn.ANCHORARRAY($B$4)=I32))</f>
        <v>6.4498061986388369E-2</v>
      </c>
    </row>
    <row r="33" spans="1:14" x14ac:dyDescent="0.25">
      <c r="A33">
        <v>2</v>
      </c>
      <c r="B33" t="str">
        <v>ESTACION PUENTE MOLINO</v>
      </c>
      <c r="C33">
        <v>0.18</v>
      </c>
      <c r="D33">
        <v>2024</v>
      </c>
      <c r="E33" s="61">
        <v>2021</v>
      </c>
      <c r="F33" s="61">
        <v>0.1</v>
      </c>
      <c r="H33" s="1">
        <v>2</v>
      </c>
      <c r="I33" t="str">
        <f t="shared" ref="I33:I36" si="4">VLOOKUP(H33,$A$4:$B$161,2)</f>
        <v>ESTACION PUENTE MOLINO</v>
      </c>
      <c r="J33" s="46">
        <f t="shared" ref="J33:J36" si="5">COUNTIF(_xlfn.ANCHORARRAY($B$4),I33)</f>
        <v>16</v>
      </c>
      <c r="K33" s="10">
        <f t="shared" ref="K33:K35" si="6">_xlfn.MINIFS(_xlfn.ANCHORARRAY($C$4),_xlfn.ANCHORARRAY($B$4),I33)</f>
        <v>0.02</v>
      </c>
      <c r="L33" s="10">
        <f t="shared" ref="L33:L35" si="7">SUMIFS(_xlfn.ANCHORARRAY($C$4),_xlfn.ANCHORARRAY($B$4),I33)/J33</f>
        <v>0.12</v>
      </c>
      <c r="M33" s="10">
        <f t="shared" ref="M33:M35" si="8">_xlfn.MAXIFS(_xlfn.ANCHORARRAY($C$4),_xlfn.ANCHORARRAY($B$4),I33)</f>
        <v>0.22</v>
      </c>
      <c r="N33" s="10" cm="1">
        <f t="array" ref="N33">_xlfn.STDEV.S(_xlfn._xlws.FILTER(_xlfn.ANCHORARRAY($C$4),_xlfn.ANCHORARRAY($B$4)=I33))</f>
        <v>6.4083279150388903E-2</v>
      </c>
    </row>
    <row r="34" spans="1:14" x14ac:dyDescent="0.25">
      <c r="A34">
        <v>2</v>
      </c>
      <c r="B34" t="str">
        <v>ESTACION PUENTE MOLINO</v>
      </c>
      <c r="C34">
        <v>0.08</v>
      </c>
      <c r="D34">
        <v>2024</v>
      </c>
      <c r="E34" s="61">
        <v>2021</v>
      </c>
      <c r="F34" s="61">
        <v>0.12</v>
      </c>
      <c r="H34" s="1">
        <v>3</v>
      </c>
      <c r="I34" t="str">
        <f t="shared" si="4"/>
        <v>ESTACION BOX COULVERT KM 24</v>
      </c>
      <c r="J34" s="46">
        <f t="shared" si="5"/>
        <v>16</v>
      </c>
      <c r="K34" s="10">
        <f t="shared" si="6"/>
        <v>0.06</v>
      </c>
      <c r="L34" s="10">
        <f t="shared" si="7"/>
        <v>0.29312500000000002</v>
      </c>
      <c r="M34" s="10">
        <f t="shared" si="8"/>
        <v>1.1000000000000001</v>
      </c>
      <c r="N34" s="10" cm="1">
        <f t="array" ref="N34">_xlfn.STDEV.S(_xlfn._xlws.FILTER(_xlfn.ANCHORARRAY($C$4),_xlfn.ANCHORARRAY($B$4)=I34))</f>
        <v>0.32612305959560722</v>
      </c>
    </row>
    <row r="35" spans="1:14" x14ac:dyDescent="0.25">
      <c r="A35">
        <v>2</v>
      </c>
      <c r="B35" t="str">
        <v>ESTACION PUENTE MOLINO</v>
      </c>
      <c r="C35">
        <v>0.16</v>
      </c>
      <c r="D35">
        <v>2024</v>
      </c>
      <c r="E35" s="61">
        <v>2021</v>
      </c>
      <c r="F35" s="61">
        <v>0.32</v>
      </c>
      <c r="H35" s="1">
        <v>4</v>
      </c>
      <c r="I35" t="str">
        <f t="shared" si="4"/>
        <v>OMYA</v>
      </c>
      <c r="J35" s="46">
        <f t="shared" si="5"/>
        <v>16</v>
      </c>
      <c r="K35" s="10">
        <f t="shared" si="6"/>
        <v>0.02</v>
      </c>
      <c r="L35" s="10">
        <f t="shared" si="7"/>
        <v>0.14875000000000005</v>
      </c>
      <c r="M35" s="10">
        <f t="shared" si="8"/>
        <v>0.32</v>
      </c>
      <c r="N35" s="10" cm="1">
        <f t="array" ref="N35">_xlfn.STDEV.S(_xlfn._xlws.FILTER(_xlfn.ANCHORARRAY($C$4),_xlfn.ANCHORARRAY($B$4)=I35))</f>
        <v>8.1639451247543224E-2</v>
      </c>
    </row>
    <row r="36" spans="1:14" x14ac:dyDescent="0.25">
      <c r="A36">
        <v>3</v>
      </c>
      <c r="B36" t="str">
        <v>ESTACION BOX COULVERT KM 24</v>
      </c>
      <c r="C36">
        <v>0.1</v>
      </c>
      <c r="D36">
        <v>2021</v>
      </c>
      <c r="E36" s="61">
        <v>2021</v>
      </c>
      <c r="F36" s="61">
        <v>0.1</v>
      </c>
      <c r="H36" s="1">
        <v>5</v>
      </c>
      <c r="I36" t="str">
        <f t="shared" si="4"/>
        <v>ESTACION RIOTEX</v>
      </c>
      <c r="J36" s="46">
        <f t="shared" si="5"/>
        <v>16</v>
      </c>
      <c r="K36" s="10">
        <f t="shared" ref="K36" si="9">_xlfn.MINIFS(_xlfn.ANCHORARRAY($C$4),_xlfn.ANCHORARRAY($B$4),I36)</f>
        <v>0.02</v>
      </c>
      <c r="L36" s="10">
        <f t="shared" ref="L36" si="10">SUMIFS(_xlfn.ANCHORARRAY($C$4),_xlfn.ANCHORARRAY($B$4),I36)/J36</f>
        <v>0.41187499999999994</v>
      </c>
      <c r="M36" s="10">
        <f t="shared" ref="M36" si="11">_xlfn.MAXIFS(_xlfn.ANCHORARRAY($C$4),_xlfn.ANCHORARRAY($B$4),I36)</f>
        <v>1.46</v>
      </c>
      <c r="N36" s="10" cm="1">
        <f t="array" ref="N36">_xlfn.STDEV.S(_xlfn._xlws.FILTER(_xlfn.ANCHORARRAY($C$4),_xlfn.ANCHORARRAY($B$4)=I36))</f>
        <v>0.3635605176583398</v>
      </c>
    </row>
    <row r="37" spans="1:14" x14ac:dyDescent="0.25">
      <c r="A37">
        <v>3</v>
      </c>
      <c r="B37" t="str">
        <v>ESTACION BOX COULVERT KM 24</v>
      </c>
      <c r="C37">
        <v>0.1</v>
      </c>
      <c r="D37">
        <v>2019</v>
      </c>
      <c r="E37" s="61">
        <v>2021</v>
      </c>
      <c r="F37" s="61">
        <v>0.36</v>
      </c>
      <c r="H37" s="1"/>
      <c r="J37" s="46"/>
      <c r="K37" s="10"/>
      <c r="L37" s="10"/>
      <c r="M37" s="10"/>
      <c r="N37" s="10"/>
    </row>
    <row r="38" spans="1:14" x14ac:dyDescent="0.25">
      <c r="A38">
        <v>3</v>
      </c>
      <c r="B38" t="str">
        <v>ESTACION BOX COULVERT KM 24</v>
      </c>
      <c r="C38">
        <v>0.6</v>
      </c>
      <c r="D38">
        <v>2020</v>
      </c>
      <c r="E38" s="61">
        <v>2021</v>
      </c>
      <c r="F38" s="61">
        <v>0.4</v>
      </c>
      <c r="H38" s="1"/>
      <c r="J38" s="46"/>
      <c r="K38" s="10"/>
      <c r="L38" s="10"/>
      <c r="M38" s="10"/>
      <c r="N38" s="10"/>
    </row>
    <row r="39" spans="1:14" x14ac:dyDescent="0.25">
      <c r="A39">
        <v>3</v>
      </c>
      <c r="B39" t="str">
        <v>ESTACION BOX COULVERT KM 24</v>
      </c>
      <c r="C39">
        <v>0.1</v>
      </c>
      <c r="D39">
        <v>2020</v>
      </c>
      <c r="E39" s="61">
        <v>2022</v>
      </c>
      <c r="F39" s="61">
        <v>0.04</v>
      </c>
      <c r="H39" s="1"/>
      <c r="J39" s="46"/>
      <c r="K39" s="10"/>
      <c r="L39" s="10"/>
      <c r="M39" s="10"/>
      <c r="N39" s="10"/>
    </row>
    <row r="40" spans="1:14" x14ac:dyDescent="0.25">
      <c r="A40">
        <v>3</v>
      </c>
      <c r="B40" t="str">
        <v>ESTACION BOX COULVERT KM 24</v>
      </c>
      <c r="C40">
        <v>0.3</v>
      </c>
      <c r="D40">
        <v>2020</v>
      </c>
      <c r="E40" s="61">
        <v>2022</v>
      </c>
      <c r="F40" s="61">
        <v>0.08</v>
      </c>
      <c r="H40" s="1"/>
      <c r="J40" s="46"/>
      <c r="K40" s="10"/>
      <c r="L40" s="10"/>
      <c r="M40" s="10"/>
      <c r="N40" s="10"/>
    </row>
    <row r="41" spans="1:14" x14ac:dyDescent="0.25">
      <c r="A41">
        <v>3</v>
      </c>
      <c r="B41" t="str">
        <v>ESTACION BOX COULVERT KM 24</v>
      </c>
      <c r="C41">
        <v>0.2</v>
      </c>
      <c r="D41">
        <v>2021</v>
      </c>
      <c r="E41" s="61">
        <v>2022</v>
      </c>
      <c r="F41" s="61">
        <v>0.06</v>
      </c>
      <c r="H41" s="1"/>
      <c r="J41" s="46"/>
      <c r="K41" s="10"/>
      <c r="L41" s="10"/>
      <c r="M41" s="10"/>
      <c r="N41" s="10"/>
    </row>
    <row r="42" spans="1:14" x14ac:dyDescent="0.25">
      <c r="A42">
        <v>3</v>
      </c>
      <c r="B42" t="str">
        <v>ESTACION BOX COULVERT KM 24</v>
      </c>
      <c r="C42">
        <v>0.36</v>
      </c>
      <c r="D42">
        <v>2021</v>
      </c>
      <c r="E42" s="61">
        <v>2022</v>
      </c>
      <c r="F42" s="61">
        <v>0.04</v>
      </c>
    </row>
    <row r="43" spans="1:14" x14ac:dyDescent="0.25">
      <c r="A43">
        <v>3</v>
      </c>
      <c r="B43" t="str">
        <v>ESTACION BOX COULVERT KM 24</v>
      </c>
      <c r="C43">
        <v>0.14000000000000001</v>
      </c>
      <c r="D43">
        <v>2022</v>
      </c>
      <c r="E43" s="61">
        <v>2022</v>
      </c>
      <c r="F43" s="61">
        <v>0.22</v>
      </c>
    </row>
    <row r="44" spans="1:14" x14ac:dyDescent="0.25">
      <c r="A44">
        <v>3</v>
      </c>
      <c r="B44" t="str">
        <v>ESTACION BOX COULVERT KM 24</v>
      </c>
      <c r="C44">
        <v>0.14000000000000001</v>
      </c>
      <c r="D44">
        <v>2022</v>
      </c>
      <c r="E44" s="61">
        <v>2022</v>
      </c>
      <c r="F44" s="61">
        <v>0.14000000000000001</v>
      </c>
    </row>
    <row r="45" spans="1:14" x14ac:dyDescent="0.25">
      <c r="A45">
        <v>3</v>
      </c>
      <c r="B45" t="str">
        <v>ESTACION BOX COULVERT KM 24</v>
      </c>
      <c r="C45">
        <v>0.08</v>
      </c>
      <c r="D45">
        <v>2022</v>
      </c>
      <c r="E45" s="61">
        <v>2022</v>
      </c>
      <c r="F45" s="61">
        <v>0.14000000000000001</v>
      </c>
    </row>
    <row r="46" spans="1:14" x14ac:dyDescent="0.25">
      <c r="A46">
        <v>3</v>
      </c>
      <c r="B46" t="str">
        <v>ESTACION BOX COULVERT KM 24</v>
      </c>
      <c r="C46">
        <v>0.18</v>
      </c>
      <c r="D46">
        <v>2023</v>
      </c>
      <c r="E46" s="61">
        <v>2022</v>
      </c>
      <c r="F46" s="61">
        <v>0.14000000000000001</v>
      </c>
    </row>
    <row r="47" spans="1:14" x14ac:dyDescent="0.25">
      <c r="A47">
        <v>3</v>
      </c>
      <c r="B47" t="str">
        <v>ESTACION BOX COULVERT KM 24</v>
      </c>
      <c r="C47">
        <v>0.08</v>
      </c>
      <c r="D47">
        <v>2023</v>
      </c>
      <c r="E47" s="61">
        <v>2022</v>
      </c>
      <c r="F47" s="61">
        <v>0.08</v>
      </c>
    </row>
    <row r="48" spans="1:14" x14ac:dyDescent="0.25">
      <c r="A48">
        <v>3</v>
      </c>
      <c r="B48" t="str">
        <v>ESTACION BOX COULVERT KM 24</v>
      </c>
      <c r="C48">
        <v>0.06</v>
      </c>
      <c r="D48">
        <v>2023</v>
      </c>
      <c r="E48" s="61">
        <v>2022</v>
      </c>
      <c r="F48" s="61">
        <v>0.14000000000000001</v>
      </c>
    </row>
    <row r="49" spans="1:6" x14ac:dyDescent="0.25">
      <c r="A49">
        <v>3</v>
      </c>
      <c r="B49" t="str">
        <v>ESTACION BOX COULVERT KM 24</v>
      </c>
      <c r="C49">
        <v>1</v>
      </c>
      <c r="D49">
        <v>2024</v>
      </c>
      <c r="E49" s="61">
        <v>2022</v>
      </c>
      <c r="F49" s="61">
        <v>0.24</v>
      </c>
    </row>
    <row r="50" spans="1:6" x14ac:dyDescent="0.25">
      <c r="A50">
        <v>3</v>
      </c>
      <c r="B50" t="str">
        <v>ESTACION BOX COULVERT KM 24</v>
      </c>
      <c r="C50">
        <v>0.15</v>
      </c>
      <c r="D50">
        <v>2024</v>
      </c>
      <c r="E50" s="61">
        <v>2022</v>
      </c>
      <c r="F50" s="61">
        <v>0.16</v>
      </c>
    </row>
    <row r="51" spans="1:6" x14ac:dyDescent="0.25">
      <c r="A51">
        <v>3</v>
      </c>
      <c r="B51" t="str">
        <v>ESTACION BOX COULVERT KM 24</v>
      </c>
      <c r="C51">
        <v>1.1000000000000001</v>
      </c>
      <c r="D51">
        <v>2024</v>
      </c>
      <c r="E51" s="61">
        <v>2022</v>
      </c>
      <c r="F51" s="61">
        <v>0.57999999999999996</v>
      </c>
    </row>
    <row r="52" spans="1:6" x14ac:dyDescent="0.25">
      <c r="A52">
        <v>4</v>
      </c>
      <c r="B52" t="str">
        <v>OMYA</v>
      </c>
      <c r="C52">
        <v>0.1</v>
      </c>
      <c r="D52">
        <v>2021</v>
      </c>
      <c r="E52" s="61">
        <v>2022</v>
      </c>
      <c r="F52" s="61">
        <v>0.38</v>
      </c>
    </row>
    <row r="53" spans="1:6" x14ac:dyDescent="0.25">
      <c r="A53">
        <v>4</v>
      </c>
      <c r="B53" t="str">
        <v>OMYA</v>
      </c>
      <c r="C53">
        <v>0.1</v>
      </c>
      <c r="D53">
        <v>2019</v>
      </c>
      <c r="E53" s="61">
        <v>2022</v>
      </c>
      <c r="F53" s="61">
        <v>0.11</v>
      </c>
    </row>
    <row r="54" spans="1:6" x14ac:dyDescent="0.25">
      <c r="A54">
        <v>4</v>
      </c>
      <c r="B54" t="str">
        <v>OMYA</v>
      </c>
      <c r="C54">
        <v>0.2</v>
      </c>
      <c r="D54">
        <v>2020</v>
      </c>
      <c r="E54" s="61">
        <v>2023</v>
      </c>
      <c r="F54" s="61">
        <v>0.06</v>
      </c>
    </row>
    <row r="55" spans="1:6" x14ac:dyDescent="0.25">
      <c r="A55">
        <v>4</v>
      </c>
      <c r="B55" t="str">
        <v>OMYA</v>
      </c>
      <c r="C55">
        <v>0.1</v>
      </c>
      <c r="D55">
        <v>2020</v>
      </c>
      <c r="E55" s="61">
        <v>2023</v>
      </c>
      <c r="F55" s="61">
        <v>0.02</v>
      </c>
    </row>
    <row r="56" spans="1:6" x14ac:dyDescent="0.25">
      <c r="A56">
        <v>4</v>
      </c>
      <c r="B56" t="str">
        <v>OMYA</v>
      </c>
      <c r="C56">
        <v>0.1</v>
      </c>
      <c r="D56">
        <v>2020</v>
      </c>
      <c r="E56" s="61">
        <v>2023</v>
      </c>
      <c r="F56" s="61">
        <v>0.08</v>
      </c>
    </row>
    <row r="57" spans="1:6" x14ac:dyDescent="0.25">
      <c r="A57">
        <v>4</v>
      </c>
      <c r="B57" t="str">
        <v>OMYA</v>
      </c>
      <c r="C57">
        <v>0.12</v>
      </c>
      <c r="D57">
        <v>2021</v>
      </c>
      <c r="E57" s="61">
        <v>2023</v>
      </c>
      <c r="F57" s="61">
        <v>0.02</v>
      </c>
    </row>
    <row r="58" spans="1:6" x14ac:dyDescent="0.25">
      <c r="A58">
        <v>4</v>
      </c>
      <c r="B58" t="str">
        <v>OMYA</v>
      </c>
      <c r="C58">
        <v>0.32</v>
      </c>
      <c r="D58">
        <v>2021</v>
      </c>
      <c r="E58" s="61">
        <v>2023</v>
      </c>
      <c r="F58" s="61">
        <v>0.04</v>
      </c>
    </row>
    <row r="59" spans="1:6" x14ac:dyDescent="0.25">
      <c r="A59">
        <v>4</v>
      </c>
      <c r="B59" t="str">
        <v>OMYA</v>
      </c>
      <c r="C59">
        <v>0.14000000000000001</v>
      </c>
      <c r="D59">
        <v>2022</v>
      </c>
      <c r="E59" s="61">
        <v>2023</v>
      </c>
      <c r="F59" s="61">
        <v>0.1</v>
      </c>
    </row>
    <row r="60" spans="1:6" x14ac:dyDescent="0.25">
      <c r="A60">
        <v>4</v>
      </c>
      <c r="B60" t="str">
        <v>OMYA</v>
      </c>
      <c r="C60">
        <v>0.24</v>
      </c>
      <c r="D60">
        <v>2022</v>
      </c>
      <c r="E60" s="61">
        <v>2023</v>
      </c>
      <c r="F60" s="61">
        <v>0.18</v>
      </c>
    </row>
    <row r="61" spans="1:6" x14ac:dyDescent="0.25">
      <c r="A61">
        <v>4</v>
      </c>
      <c r="B61" t="str">
        <v>OMYA</v>
      </c>
      <c r="C61">
        <v>0.16</v>
      </c>
      <c r="D61">
        <v>2022</v>
      </c>
      <c r="E61" s="61">
        <v>2023</v>
      </c>
      <c r="F61" s="61">
        <v>0.08</v>
      </c>
    </row>
    <row r="62" spans="1:6" x14ac:dyDescent="0.25">
      <c r="A62">
        <v>4</v>
      </c>
      <c r="B62" t="str">
        <v>OMYA</v>
      </c>
      <c r="C62">
        <v>0.14000000000000001</v>
      </c>
      <c r="D62">
        <v>2023</v>
      </c>
      <c r="E62" s="61">
        <v>2023</v>
      </c>
      <c r="F62" s="61">
        <v>0.06</v>
      </c>
    </row>
    <row r="63" spans="1:6" x14ac:dyDescent="0.25">
      <c r="A63">
        <v>4</v>
      </c>
      <c r="B63" t="str">
        <v>OMYA</v>
      </c>
      <c r="C63">
        <v>0.04</v>
      </c>
      <c r="D63">
        <v>2023</v>
      </c>
      <c r="E63" s="61">
        <v>2023</v>
      </c>
      <c r="F63" s="61">
        <v>0.14000000000000001</v>
      </c>
    </row>
    <row r="64" spans="1:6" x14ac:dyDescent="0.25">
      <c r="A64">
        <v>4</v>
      </c>
      <c r="B64" t="str">
        <v>OMYA</v>
      </c>
      <c r="C64">
        <v>0.02</v>
      </c>
      <c r="D64">
        <v>2023</v>
      </c>
      <c r="E64" s="61">
        <v>2023</v>
      </c>
      <c r="F64" s="61">
        <v>0.04</v>
      </c>
    </row>
    <row r="65" spans="1:6" x14ac:dyDescent="0.25">
      <c r="A65">
        <v>4</v>
      </c>
      <c r="B65" t="str">
        <v>OMYA</v>
      </c>
      <c r="C65">
        <v>0.28000000000000003</v>
      </c>
      <c r="D65">
        <v>2024</v>
      </c>
      <c r="E65" s="61">
        <v>2023</v>
      </c>
      <c r="F65" s="61">
        <v>0.02</v>
      </c>
    </row>
    <row r="66" spans="1:6" x14ac:dyDescent="0.25">
      <c r="A66">
        <v>4</v>
      </c>
      <c r="B66" t="str">
        <v>OMYA</v>
      </c>
      <c r="C66">
        <v>0.12</v>
      </c>
      <c r="D66">
        <v>2024</v>
      </c>
      <c r="E66" s="61">
        <v>2023</v>
      </c>
      <c r="F66" s="61">
        <v>0.1</v>
      </c>
    </row>
    <row r="67" spans="1:6" x14ac:dyDescent="0.25">
      <c r="A67">
        <v>4</v>
      </c>
      <c r="B67" t="str">
        <v>OMYA</v>
      </c>
      <c r="C67">
        <v>0.2</v>
      </c>
      <c r="D67">
        <v>2024</v>
      </c>
      <c r="E67" s="61">
        <v>2023</v>
      </c>
      <c r="F67" s="61">
        <v>0.4</v>
      </c>
    </row>
    <row r="68" spans="1:6" x14ac:dyDescent="0.25">
      <c r="A68">
        <v>5</v>
      </c>
      <c r="B68" t="str">
        <v>ESTACION RIOTEX</v>
      </c>
      <c r="C68">
        <v>0.1</v>
      </c>
      <c r="D68">
        <v>2021</v>
      </c>
      <c r="E68" s="61">
        <v>2023</v>
      </c>
      <c r="F68" s="61">
        <v>0.02</v>
      </c>
    </row>
    <row r="69" spans="1:6" x14ac:dyDescent="0.25">
      <c r="A69">
        <v>5</v>
      </c>
      <c r="B69" t="str">
        <v>ESTACION RIOTEX</v>
      </c>
      <c r="C69">
        <v>0.4</v>
      </c>
      <c r="D69">
        <v>2019</v>
      </c>
      <c r="E69" s="61">
        <v>2024</v>
      </c>
      <c r="F69" s="61">
        <v>0.08</v>
      </c>
    </row>
    <row r="70" spans="1:6" x14ac:dyDescent="0.25">
      <c r="A70">
        <v>5</v>
      </c>
      <c r="B70" t="str">
        <v>ESTACION RIOTEX</v>
      </c>
      <c r="C70">
        <v>0.9</v>
      </c>
      <c r="D70">
        <v>2020</v>
      </c>
      <c r="E70" s="61">
        <v>2024</v>
      </c>
      <c r="F70" s="61">
        <v>0.16</v>
      </c>
    </row>
    <row r="71" spans="1:6" x14ac:dyDescent="0.25">
      <c r="A71">
        <v>5</v>
      </c>
      <c r="B71" t="str">
        <v>ESTACION RIOTEX</v>
      </c>
      <c r="C71">
        <v>0.2</v>
      </c>
      <c r="D71">
        <v>2020</v>
      </c>
      <c r="E71" s="61">
        <v>2024</v>
      </c>
      <c r="F71" s="61">
        <v>0.2</v>
      </c>
    </row>
    <row r="72" spans="1:6" x14ac:dyDescent="0.25">
      <c r="A72">
        <v>5</v>
      </c>
      <c r="B72" t="str">
        <v>ESTACION RIOTEX</v>
      </c>
      <c r="C72">
        <v>0.2</v>
      </c>
      <c r="D72">
        <v>2020</v>
      </c>
      <c r="E72" s="61">
        <v>2024</v>
      </c>
      <c r="F72" s="61">
        <v>0.18</v>
      </c>
    </row>
    <row r="73" spans="1:6" x14ac:dyDescent="0.25">
      <c r="A73">
        <v>5</v>
      </c>
      <c r="B73" t="str">
        <v>ESTACION RIOTEX</v>
      </c>
      <c r="C73">
        <v>0.36</v>
      </c>
      <c r="D73">
        <v>2021</v>
      </c>
      <c r="E73" s="61">
        <v>2024</v>
      </c>
      <c r="F73" s="61">
        <v>0.08</v>
      </c>
    </row>
    <row r="74" spans="1:6" x14ac:dyDescent="0.25">
      <c r="A74">
        <v>5</v>
      </c>
      <c r="B74" t="str">
        <v>ESTACION RIOTEX</v>
      </c>
      <c r="C74">
        <v>0.4</v>
      </c>
      <c r="D74">
        <v>2021</v>
      </c>
      <c r="E74" s="61">
        <v>2024</v>
      </c>
      <c r="F74" s="61">
        <v>0.16</v>
      </c>
    </row>
    <row r="75" spans="1:6" x14ac:dyDescent="0.25">
      <c r="A75">
        <v>5</v>
      </c>
      <c r="B75" t="str">
        <v>ESTACION RIOTEX</v>
      </c>
      <c r="C75">
        <v>0.57999999999999996</v>
      </c>
      <c r="D75">
        <v>2022</v>
      </c>
      <c r="E75" s="61">
        <v>2024</v>
      </c>
      <c r="F75" s="61">
        <v>1</v>
      </c>
    </row>
    <row r="76" spans="1:6" x14ac:dyDescent="0.25">
      <c r="A76">
        <v>5</v>
      </c>
      <c r="B76" t="str">
        <v>ESTACION RIOTEX</v>
      </c>
      <c r="C76">
        <v>0.38</v>
      </c>
      <c r="D76">
        <v>2022</v>
      </c>
      <c r="E76" s="61">
        <v>2024</v>
      </c>
      <c r="F76" s="61">
        <v>0.15</v>
      </c>
    </row>
    <row r="77" spans="1:6" x14ac:dyDescent="0.25">
      <c r="A77">
        <v>5</v>
      </c>
      <c r="B77" t="str">
        <v>ESTACION RIOTEX</v>
      </c>
      <c r="C77">
        <v>0.11</v>
      </c>
      <c r="D77">
        <v>2022</v>
      </c>
      <c r="E77" s="61">
        <v>2024</v>
      </c>
      <c r="F77" s="61">
        <v>1.1000000000000001</v>
      </c>
    </row>
    <row r="78" spans="1:6" x14ac:dyDescent="0.25">
      <c r="A78">
        <v>5</v>
      </c>
      <c r="B78" t="str">
        <v>ESTACION RIOTEX</v>
      </c>
      <c r="C78">
        <v>0.1</v>
      </c>
      <c r="D78">
        <v>2023</v>
      </c>
      <c r="E78" s="61">
        <v>2024</v>
      </c>
      <c r="F78" s="61">
        <v>0.28000000000000003</v>
      </c>
    </row>
    <row r="79" spans="1:6" x14ac:dyDescent="0.25">
      <c r="A79">
        <v>5</v>
      </c>
      <c r="B79" t="str">
        <v>ESTACION RIOTEX</v>
      </c>
      <c r="C79">
        <v>0.4</v>
      </c>
      <c r="D79">
        <v>2023</v>
      </c>
      <c r="E79" s="61">
        <v>2024</v>
      </c>
      <c r="F79" s="61">
        <v>0.12</v>
      </c>
    </row>
    <row r="80" spans="1:6" x14ac:dyDescent="0.25">
      <c r="A80">
        <v>5</v>
      </c>
      <c r="B80" t="str">
        <v>ESTACION RIOTEX</v>
      </c>
      <c r="C80">
        <v>0.02</v>
      </c>
      <c r="D80">
        <v>2023</v>
      </c>
      <c r="E80" s="61">
        <v>2024</v>
      </c>
      <c r="F80" s="61">
        <v>0.2</v>
      </c>
    </row>
    <row r="81" spans="1:6" x14ac:dyDescent="0.25">
      <c r="A81">
        <v>5</v>
      </c>
      <c r="B81" t="str">
        <v>ESTACION RIOTEX</v>
      </c>
      <c r="C81">
        <v>1.46</v>
      </c>
      <c r="D81">
        <v>2024</v>
      </c>
      <c r="E81" s="61">
        <v>2024</v>
      </c>
      <c r="F81" s="61">
        <v>1.46</v>
      </c>
    </row>
    <row r="82" spans="1:6" x14ac:dyDescent="0.25">
      <c r="A82">
        <v>5</v>
      </c>
      <c r="B82" t="str">
        <v>ESTACION RIOTEX</v>
      </c>
      <c r="C82">
        <v>0.68</v>
      </c>
      <c r="D82">
        <v>2024</v>
      </c>
      <c r="E82" s="61">
        <v>2024</v>
      </c>
      <c r="F82" s="61">
        <v>0.68</v>
      </c>
    </row>
    <row r="83" spans="1:6" x14ac:dyDescent="0.25">
      <c r="A83">
        <v>5</v>
      </c>
      <c r="B83" t="str">
        <v>ESTACION RIOTEX</v>
      </c>
      <c r="C83">
        <v>0.3</v>
      </c>
      <c r="D83">
        <v>2024</v>
      </c>
      <c r="E83" s="61">
        <v>2024</v>
      </c>
      <c r="F83" s="61">
        <v>0.3</v>
      </c>
    </row>
    <row r="84" spans="1:6" x14ac:dyDescent="0.25">
      <c r="E84" s="61"/>
      <c r="F84" s="61"/>
    </row>
    <row r="85" spans="1:6" x14ac:dyDescent="0.25">
      <c r="E85" s="61"/>
      <c r="F85" s="61"/>
    </row>
    <row r="86" spans="1:6" x14ac:dyDescent="0.25">
      <c r="E86" s="61"/>
      <c r="F86" s="61"/>
    </row>
    <row r="87" spans="1:6" x14ac:dyDescent="0.25">
      <c r="E87" s="61"/>
      <c r="F87" s="61"/>
    </row>
    <row r="88" spans="1:6" x14ac:dyDescent="0.25">
      <c r="E88" s="61"/>
      <c r="F88" s="61"/>
    </row>
    <row r="89" spans="1:6" x14ac:dyDescent="0.25">
      <c r="E89" s="61"/>
      <c r="F89" s="61"/>
    </row>
    <row r="90" spans="1:6" x14ac:dyDescent="0.25">
      <c r="E90" s="61"/>
      <c r="F90" s="61"/>
    </row>
    <row r="91" spans="1:6" x14ac:dyDescent="0.25">
      <c r="E91" s="61"/>
      <c r="F91" s="61"/>
    </row>
    <row r="92" spans="1:6" x14ac:dyDescent="0.25">
      <c r="E92" s="61"/>
      <c r="F92" s="61"/>
    </row>
    <row r="93" spans="1:6" x14ac:dyDescent="0.25">
      <c r="E93" s="61"/>
      <c r="F93" s="61"/>
    </row>
    <row r="94" spans="1:6" x14ac:dyDescent="0.25">
      <c r="E94" s="61"/>
      <c r="F94" s="61"/>
    </row>
    <row r="95" spans="1:6" x14ac:dyDescent="0.25">
      <c r="E95" s="61"/>
      <c r="F95" s="61"/>
    </row>
    <row r="96" spans="1:6" x14ac:dyDescent="0.25">
      <c r="E96" s="61"/>
      <c r="F96" s="61"/>
    </row>
    <row r="97" spans="5:6" x14ac:dyDescent="0.25">
      <c r="E97" s="61"/>
      <c r="F97" s="61"/>
    </row>
    <row r="98" spans="5:6" x14ac:dyDescent="0.25">
      <c r="E98" s="61"/>
      <c r="F98" s="61"/>
    </row>
    <row r="99" spans="5:6" x14ac:dyDescent="0.25">
      <c r="E99" s="61"/>
      <c r="F99" s="61"/>
    </row>
    <row r="100" spans="5:6" x14ac:dyDescent="0.25">
      <c r="E100" s="61"/>
      <c r="F100" s="61"/>
    </row>
    <row r="101" spans="5:6" x14ac:dyDescent="0.25">
      <c r="E101" s="61"/>
      <c r="F101" s="61"/>
    </row>
    <row r="102" spans="5:6" x14ac:dyDescent="0.25">
      <c r="E102" s="61"/>
      <c r="F102" s="61"/>
    </row>
    <row r="103" spans="5:6" x14ac:dyDescent="0.25">
      <c r="E103" s="61"/>
      <c r="F103" s="61"/>
    </row>
    <row r="104" spans="5:6" x14ac:dyDescent="0.25">
      <c r="E104" s="61"/>
      <c r="F104" s="61"/>
    </row>
    <row r="105" spans="5:6" x14ac:dyDescent="0.25">
      <c r="E105" s="61"/>
      <c r="F105" s="61"/>
    </row>
    <row r="106" spans="5:6" x14ac:dyDescent="0.25">
      <c r="E106" s="61"/>
      <c r="F106" s="61"/>
    </row>
    <row r="107" spans="5:6" x14ac:dyDescent="0.25">
      <c r="E107" s="61"/>
      <c r="F107" s="61"/>
    </row>
    <row r="108" spans="5:6" x14ac:dyDescent="0.25">
      <c r="E108" s="61"/>
      <c r="F108" s="61"/>
    </row>
    <row r="109" spans="5:6" x14ac:dyDescent="0.25">
      <c r="E109" s="61"/>
      <c r="F109" s="61"/>
    </row>
    <row r="110" spans="5:6" x14ac:dyDescent="0.25">
      <c r="E110" s="61"/>
      <c r="F110" s="61"/>
    </row>
    <row r="111" spans="5:6" x14ac:dyDescent="0.25">
      <c r="E111" s="61"/>
      <c r="F111" s="61"/>
    </row>
    <row r="112" spans="5:6" x14ac:dyDescent="0.25">
      <c r="E112" s="61"/>
      <c r="F112" s="61"/>
    </row>
    <row r="113" spans="5:6" x14ac:dyDescent="0.25">
      <c r="E113" s="61"/>
      <c r="F113" s="61"/>
    </row>
    <row r="114" spans="5:6" x14ac:dyDescent="0.25">
      <c r="E114" s="61"/>
      <c r="F114" s="61"/>
    </row>
    <row r="115" spans="5:6" x14ac:dyDescent="0.25">
      <c r="E115" s="61"/>
      <c r="F115" s="61"/>
    </row>
    <row r="116" spans="5:6" x14ac:dyDescent="0.25">
      <c r="E116" s="61"/>
      <c r="F116" s="61"/>
    </row>
    <row r="117" spans="5:6" x14ac:dyDescent="0.25">
      <c r="E117" s="61"/>
      <c r="F117" s="61"/>
    </row>
    <row r="118" spans="5:6" x14ac:dyDescent="0.25">
      <c r="E118" s="61"/>
      <c r="F118" s="61"/>
    </row>
    <row r="119" spans="5:6" x14ac:dyDescent="0.25">
      <c r="E119" s="61"/>
      <c r="F119" s="61"/>
    </row>
    <row r="120" spans="5:6" x14ac:dyDescent="0.25">
      <c r="E120" s="61"/>
      <c r="F120" s="61"/>
    </row>
    <row r="121" spans="5:6" x14ac:dyDescent="0.25">
      <c r="E121" s="61"/>
      <c r="F121" s="61"/>
    </row>
    <row r="122" spans="5:6" x14ac:dyDescent="0.25">
      <c r="E122" s="61"/>
      <c r="F122" s="61"/>
    </row>
    <row r="123" spans="5:6" x14ac:dyDescent="0.25">
      <c r="E123" s="61"/>
      <c r="F123" s="61"/>
    </row>
    <row r="124" spans="5:6" x14ac:dyDescent="0.25">
      <c r="E124" s="61"/>
      <c r="F124" s="61"/>
    </row>
    <row r="125" spans="5:6" x14ac:dyDescent="0.25">
      <c r="E125" s="61"/>
      <c r="F125" s="61"/>
    </row>
    <row r="126" spans="5:6" x14ac:dyDescent="0.25">
      <c r="E126" s="61"/>
      <c r="F126" s="61"/>
    </row>
    <row r="127" spans="5:6" x14ac:dyDescent="0.25">
      <c r="E127" s="61"/>
      <c r="F127" s="61"/>
    </row>
    <row r="128" spans="5:6" x14ac:dyDescent="0.25">
      <c r="E128" s="61"/>
      <c r="F128" s="61"/>
    </row>
    <row r="129" spans="5:6" x14ac:dyDescent="0.25">
      <c r="E129" s="61"/>
      <c r="F129" s="61"/>
    </row>
    <row r="130" spans="5:6" x14ac:dyDescent="0.25">
      <c r="E130" s="61"/>
      <c r="F130" s="61"/>
    </row>
    <row r="131" spans="5:6" x14ac:dyDescent="0.25">
      <c r="E131" s="61"/>
      <c r="F131" s="61"/>
    </row>
    <row r="132" spans="5:6" x14ac:dyDescent="0.25">
      <c r="E132" s="61"/>
      <c r="F132" s="61"/>
    </row>
    <row r="133" spans="5:6" x14ac:dyDescent="0.25">
      <c r="E133" s="61"/>
      <c r="F133" s="61"/>
    </row>
    <row r="134" spans="5:6" x14ac:dyDescent="0.25">
      <c r="E134" s="61"/>
      <c r="F134" s="61"/>
    </row>
    <row r="135" spans="5:6" x14ac:dyDescent="0.25">
      <c r="E135" s="61"/>
      <c r="F135" s="61"/>
    </row>
    <row r="136" spans="5:6" x14ac:dyDescent="0.25">
      <c r="E136" s="61"/>
      <c r="F136" s="61"/>
    </row>
    <row r="137" spans="5:6" x14ac:dyDescent="0.25">
      <c r="E137" s="61"/>
      <c r="F137" s="61"/>
    </row>
    <row r="138" spans="5:6" x14ac:dyDescent="0.25">
      <c r="E138" s="61"/>
      <c r="F138" s="61"/>
    </row>
    <row r="139" spans="5:6" x14ac:dyDescent="0.25">
      <c r="E139" s="61"/>
      <c r="F139" s="61"/>
    </row>
    <row r="140" spans="5:6" x14ac:dyDescent="0.25">
      <c r="E140" s="61"/>
      <c r="F140" s="61"/>
    </row>
    <row r="141" spans="5:6" x14ac:dyDescent="0.25">
      <c r="E141" s="61"/>
      <c r="F141" s="61"/>
    </row>
    <row r="142" spans="5:6" x14ac:dyDescent="0.25">
      <c r="E142" s="61"/>
      <c r="F142" s="61"/>
    </row>
    <row r="143" spans="5:6" x14ac:dyDescent="0.25">
      <c r="E143" s="61"/>
      <c r="F143" s="61"/>
    </row>
    <row r="144" spans="5:6" x14ac:dyDescent="0.25">
      <c r="E144" s="61"/>
      <c r="F144" s="61"/>
    </row>
    <row r="145" spans="5:6" x14ac:dyDescent="0.25">
      <c r="E145" s="61"/>
      <c r="F145" s="61"/>
    </row>
    <row r="146" spans="5:6" x14ac:dyDescent="0.25">
      <c r="E146" s="61"/>
      <c r="F146" s="61"/>
    </row>
    <row r="147" spans="5:6" x14ac:dyDescent="0.25">
      <c r="E147" s="61"/>
      <c r="F147" s="61"/>
    </row>
    <row r="148" spans="5:6" x14ac:dyDescent="0.25">
      <c r="E148" s="61"/>
      <c r="F148" s="61"/>
    </row>
    <row r="149" spans="5:6" x14ac:dyDescent="0.25">
      <c r="E149" s="61"/>
      <c r="F149" s="61"/>
    </row>
    <row r="150" spans="5:6" x14ac:dyDescent="0.25">
      <c r="E150" s="61"/>
      <c r="F150" s="61"/>
    </row>
    <row r="151" spans="5:6" x14ac:dyDescent="0.25">
      <c r="E151" s="61"/>
      <c r="F151" s="61"/>
    </row>
    <row r="152" spans="5:6" x14ac:dyDescent="0.25">
      <c r="E152" s="61"/>
      <c r="F152" s="61"/>
    </row>
    <row r="153" spans="5:6" x14ac:dyDescent="0.25">
      <c r="E153" s="61"/>
      <c r="F153" s="61"/>
    </row>
    <row r="154" spans="5:6" x14ac:dyDescent="0.25">
      <c r="E154" s="61"/>
      <c r="F154" s="61"/>
    </row>
    <row r="155" spans="5:6" x14ac:dyDescent="0.25">
      <c r="E155" s="61"/>
      <c r="F155" s="61"/>
    </row>
    <row r="156" spans="5:6" x14ac:dyDescent="0.25">
      <c r="E156" s="61"/>
      <c r="F156" s="61"/>
    </row>
    <row r="157" spans="5:6" x14ac:dyDescent="0.25">
      <c r="E157" s="61"/>
      <c r="F157" s="61"/>
    </row>
    <row r="158" spans="5:6" x14ac:dyDescent="0.25">
      <c r="E158" s="61"/>
      <c r="F158" s="61"/>
    </row>
    <row r="159" spans="5:6" x14ac:dyDescent="0.25">
      <c r="E159" s="61"/>
      <c r="F159" s="61"/>
    </row>
    <row r="160" spans="5:6" x14ac:dyDescent="0.25">
      <c r="E160" s="61"/>
      <c r="F160" s="61"/>
    </row>
    <row r="161" spans="5:6" x14ac:dyDescent="0.25">
      <c r="E161" s="61"/>
      <c r="F161" s="61"/>
    </row>
  </sheetData>
  <autoFilter ref="E3:F3" xr:uid="{CD8E6033-4EFF-422E-8B2D-FFB42D6E201F}">
    <sortState xmlns:xlrd2="http://schemas.microsoft.com/office/spreadsheetml/2017/richdata2" ref="E4:F83">
      <sortCondition ref="E3"/>
    </sortState>
  </autoFilter>
  <mergeCells count="10">
    <mergeCell ref="H30:N30"/>
    <mergeCell ref="W21:Y21"/>
    <mergeCell ref="A2:F2"/>
    <mergeCell ref="H2:N2"/>
    <mergeCell ref="O2:T2"/>
    <mergeCell ref="U2:W2"/>
    <mergeCell ref="H3:N28"/>
    <mergeCell ref="O3:T19"/>
    <mergeCell ref="U3:W19"/>
    <mergeCell ref="O21:T2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2376-049F-4453-8F2D-65AF5D3677F1}">
  <dimension ref="A1:AD406"/>
  <sheetViews>
    <sheetView zoomScale="80" zoomScaleNormal="80" workbookViewId="0">
      <pane xSplit="3" ySplit="2" topLeftCell="L3" activePane="bottomRight" state="frozen"/>
      <selection pane="topRight" activeCell="D1" sqref="D1"/>
      <selection pane="bottomLeft" activeCell="A3" sqref="A3"/>
      <selection pane="bottomRight" activeCell="U3" sqref="U3"/>
    </sheetView>
  </sheetViews>
  <sheetFormatPr baseColWidth="10" defaultColWidth="11.42578125" defaultRowHeight="16.5" x14ac:dyDescent="0.3"/>
  <cols>
    <col min="1" max="1" width="3" style="38" bestFit="1" customWidth="1"/>
    <col min="2" max="2" width="23.42578125" style="38" customWidth="1"/>
    <col min="3" max="3" width="75.42578125" style="38" customWidth="1"/>
    <col min="4" max="18" width="11.42578125" style="38"/>
    <col min="19" max="19" width="2.7109375" style="38" customWidth="1"/>
    <col min="20" max="20" width="16.85546875" style="38" customWidth="1"/>
    <col min="21" max="26" width="12.5703125" style="38" customWidth="1"/>
    <col min="27" max="27" width="2.28515625" style="38" customWidth="1"/>
    <col min="28" max="16384" width="11.42578125" style="38"/>
  </cols>
  <sheetData>
    <row r="1" spans="1:30" x14ac:dyDescent="0.3">
      <c r="A1" s="57"/>
      <c r="B1" s="57"/>
      <c r="C1" s="57"/>
      <c r="D1" s="57"/>
      <c r="E1" s="57"/>
      <c r="F1" s="57"/>
      <c r="G1" s="146" t="s">
        <v>557</v>
      </c>
      <c r="H1" s="146"/>
      <c r="I1" s="146"/>
      <c r="J1" s="146"/>
      <c r="K1" s="147" t="s">
        <v>573</v>
      </c>
      <c r="L1" s="147"/>
      <c r="M1" s="147"/>
      <c r="N1" s="147"/>
      <c r="O1" s="148" t="s">
        <v>574</v>
      </c>
      <c r="P1" s="148"/>
      <c r="Q1" s="148"/>
      <c r="R1" s="148"/>
      <c r="S1" s="68"/>
      <c r="T1" s="66" t="s">
        <v>562</v>
      </c>
      <c r="U1" s="143" t="str">
        <f>G1</f>
        <v>λ=436 (m⁻¹)</v>
      </c>
      <c r="V1" s="143"/>
      <c r="W1" s="142" t="str">
        <f>K1</f>
        <v>λ=525 (m⁻¹)</v>
      </c>
      <c r="X1" s="142"/>
      <c r="Y1" s="141" t="str">
        <f>O1</f>
        <v>λ=620 (m⁻¹)</v>
      </c>
      <c r="Z1" s="141"/>
      <c r="AA1" s="68"/>
      <c r="AB1" s="139" t="s">
        <v>45</v>
      </c>
      <c r="AC1" s="139"/>
      <c r="AD1" s="139"/>
    </row>
    <row r="2" spans="1:30" x14ac:dyDescent="0.3">
      <c r="A2" s="57"/>
      <c r="B2" s="57"/>
      <c r="C2" s="57"/>
      <c r="D2" s="58" t="s">
        <v>575</v>
      </c>
      <c r="E2" s="59" t="s">
        <v>576</v>
      </c>
      <c r="F2" s="59" t="s">
        <v>577</v>
      </c>
      <c r="G2" s="59" t="s">
        <v>571</v>
      </c>
      <c r="H2" s="59" t="s">
        <v>569</v>
      </c>
      <c r="I2" s="59" t="s">
        <v>570</v>
      </c>
      <c r="J2" s="59" t="s">
        <v>572</v>
      </c>
      <c r="K2" s="59" t="s">
        <v>571</v>
      </c>
      <c r="L2" s="59" t="s">
        <v>569</v>
      </c>
      <c r="M2" s="59" t="s">
        <v>570</v>
      </c>
      <c r="N2" s="59" t="s">
        <v>572</v>
      </c>
      <c r="O2" s="59" t="s">
        <v>571</v>
      </c>
      <c r="P2" s="59" t="s">
        <v>569</v>
      </c>
      <c r="Q2" s="59" t="s">
        <v>570</v>
      </c>
      <c r="R2" s="59" t="s">
        <v>572</v>
      </c>
      <c r="S2" s="68"/>
      <c r="T2" s="67">
        <v>0.99</v>
      </c>
      <c r="U2" s="59" t="s">
        <v>578</v>
      </c>
      <c r="V2" s="59" t="s">
        <v>579</v>
      </c>
      <c r="W2" s="59" t="s">
        <v>578</v>
      </c>
      <c r="X2" s="59" t="s">
        <v>579</v>
      </c>
      <c r="Y2" s="59" t="s">
        <v>578</v>
      </c>
      <c r="Z2" s="59" t="s">
        <v>579</v>
      </c>
      <c r="AA2" s="68"/>
      <c r="AB2" s="56" t="s">
        <v>580</v>
      </c>
      <c r="AC2" s="56" t="s">
        <v>581</v>
      </c>
      <c r="AD2" s="56" t="s">
        <v>582</v>
      </c>
    </row>
    <row r="3" spans="1:30" x14ac:dyDescent="0.3">
      <c r="A3" s="144"/>
      <c r="B3" s="62" t="s">
        <v>51</v>
      </c>
      <c r="C3" s="139"/>
      <c r="D3" s="44">
        <f>COUNTIF('Resultados historicos'!H:H,'Estadistico resumen'!B3)</f>
        <v>158</v>
      </c>
      <c r="E3" s="45">
        <f>_xlfn.MINIFS('Resultados historicos'!K:K,'Resultados historicos'!H:H,'Estadistico resumen'!B3)</f>
        <v>43794</v>
      </c>
      <c r="F3" s="45">
        <f>_xlfn.MAXIFS('Resultados historicos'!K:K,'Resultados historicos'!H:H,'Estadistico resumen'!B3)</f>
        <v>45622</v>
      </c>
      <c r="G3" s="43">
        <f>_xlfn.MAXIFS('Resultados historicos'!O:O,'Resultados historicos'!$H:$H,'Estadistico resumen'!$B3)</f>
        <v>2.34</v>
      </c>
      <c r="H3" s="43">
        <f>_xlfn.MINIFS('Resultados historicos'!O:O,'Resultados historicos'!$H:$H,'Estadistico resumen'!$B3)</f>
        <v>0.08</v>
      </c>
      <c r="I3" s="43">
        <f>SUMIF('Resultados historicos'!$H:$H,'Estadistico resumen'!$B3,'Resultados historicos'!O:O)/COUNTIF('Resultados historicos'!$H:$H,'Estadistico resumen'!$B3)</f>
        <v>0.82265822784810139</v>
      </c>
      <c r="J3" s="43" cm="1">
        <f t="array" ref="J3">_xlfn.STDEV.S(_xlfn._xlws.FILTER('Resultados historicos'!O:O,'Resultados historicos'!$H:$H='Estadistico resumen'!$B3))</f>
        <v>0.42195090987682921</v>
      </c>
      <c r="K3" s="43">
        <f>_xlfn.MAXIFS('Resultados historicos'!P:P,'Resultados historicos'!$H:$H,'Estadistico resumen'!$B3)</f>
        <v>1.78</v>
      </c>
      <c r="L3" s="43">
        <f>_xlfn.MINIFS('Resultados historicos'!P:P,'Resultados historicos'!$H:$H,'Estadistico resumen'!$B3)</f>
        <v>0.08</v>
      </c>
      <c r="M3" s="43">
        <f>SUMIF('Resultados historicos'!$H:$H,'Estadistico resumen'!$B3,'Resultados historicos'!P:P)/COUNTIF('Resultados historicos'!$H:$H,'Estadistico resumen'!$B3)</f>
        <v>0.4001265822784808</v>
      </c>
      <c r="N3" s="43" cm="1">
        <f t="array" ref="N3">_xlfn.STDEV.S(_xlfn._xlws.FILTER('Resultados historicos'!P:P,'Resultados historicos'!$H:$H='Estadistico resumen'!$B3))</f>
        <v>0.31167921476969734</v>
      </c>
      <c r="O3" s="43">
        <f>_xlfn.MAXIFS('Resultados historicos'!Q:Q,'Resultados historicos'!$H:$H,'Estadistico resumen'!$B3)</f>
        <v>1.7</v>
      </c>
      <c r="P3" s="43">
        <f>_xlfn.MINIFS('Resultados historicos'!Q:Q,'Resultados historicos'!$H:$H,'Estadistico resumen'!$B3)</f>
        <v>0.02</v>
      </c>
      <c r="Q3" s="43">
        <f>SUMIF('Resultados historicos'!$H:$H,'Estadistico resumen'!$B3,'Resultados historicos'!Q:Q)/COUNTIF('Resultados historicos'!$H:$H,'Estadistico resumen'!$B3)</f>
        <v>0.24753164556962029</v>
      </c>
      <c r="R3" s="43" cm="1">
        <f t="array" ref="R3">_xlfn.STDEV.S(_xlfn._xlws.FILTER('Resultados historicos'!Q:Q,'Resultados historicos'!$H:$H='Estadistico resumen'!$B3))</f>
        <v>0.26645989339553056</v>
      </c>
      <c r="S3" s="68"/>
      <c r="T3" s="140" t="s">
        <v>583</v>
      </c>
      <c r="U3" s="54" t="str">
        <f>TEXT(I3,"0,00")&amp;" ± "&amp;TEXT((_xlfn.NORM.S.INV(1-((1-$T$2)/2))*J3/SQRT(D3)),"0,00")</f>
        <v>0,82 ± 0,09</v>
      </c>
      <c r="V3" s="64">
        <f>I3+(_xlfn.NORM.S.INV(1-((1-$T$2)/2))*J3/SQRT(D3))</f>
        <v>0.90912524229580804</v>
      </c>
      <c r="W3" s="54" t="str">
        <f>TEXT(M3,"0,00")&amp;" ± "&amp;TEXT((_xlfn.NORM.S.INV(1-((1-$T$2)/2))*N3/SQRT(D3)),"0,00")</f>
        <v>0,40 ± 0,06</v>
      </c>
      <c r="X3" s="64">
        <f>M3+(_xlfn.NORM.S.INV(1-((1-$T$2)/2))*N3/SQRT(D3))</f>
        <v>0.46399650301027445</v>
      </c>
      <c r="Y3" s="54" t="str">
        <f>TEXT(Q3,"0,00")&amp;" ± "&amp;TEXT((_xlfn.NORM.S.INV(1-((1-$T$2)/2))*R3/SQRT(D3)),"0,00")</f>
        <v>0,25 ± 0,05</v>
      </c>
      <c r="Z3" s="64">
        <f>Q3+(_xlfn.NORM.S.INV(1-((1-$T$2)/2))*R3/SQRT(D3))</f>
        <v>0.30213513358838356</v>
      </c>
      <c r="AA3" s="68"/>
      <c r="AB3" s="69">
        <f>_xlfn.MINIFS('Resultados historicos'!Y:Y,'Resultados historicos'!$H:$H,'Estadistico resumen'!$B3)</f>
        <v>657.5</v>
      </c>
      <c r="AC3" s="69">
        <f>_xlfn.MAXIFS('Resultados historicos'!Y:Y,'Resultados historicos'!$H:$H,'Estadistico resumen'!$B3)</f>
        <v>45152.5</v>
      </c>
      <c r="AD3" s="69">
        <f>SUMIF('Resultados historicos'!$H:$H,'Estadistico resumen'!$B3,'Resultados historicos'!Y:Y)/COUNTIFS('Resultados historicos'!$H:$H,'Estadistico resumen'!$B3,'Resultados historicos'!Y:Y,"&gt;0")</f>
        <v>8651.1110588235315</v>
      </c>
    </row>
    <row r="4" spans="1:30" x14ac:dyDescent="0.3">
      <c r="A4" s="144"/>
      <c r="B4" s="62" t="s">
        <v>584</v>
      </c>
      <c r="C4" s="139"/>
      <c r="D4" s="48">
        <v>17</v>
      </c>
      <c r="E4" s="49">
        <v>43795</v>
      </c>
      <c r="F4" s="49">
        <v>45622</v>
      </c>
      <c r="G4" s="50">
        <v>1.3</v>
      </c>
      <c r="H4" s="50">
        <v>0.3</v>
      </c>
      <c r="I4" s="50">
        <v>0.70117647058823529</v>
      </c>
      <c r="J4" s="50">
        <v>0.3000392131234928</v>
      </c>
      <c r="K4" s="50">
        <v>0.54</v>
      </c>
      <c r="L4" s="50">
        <v>0.1</v>
      </c>
      <c r="M4" s="50">
        <v>0.27529411764705886</v>
      </c>
      <c r="N4" s="50">
        <v>0.12480573139177253</v>
      </c>
      <c r="O4" s="50">
        <v>0.3</v>
      </c>
      <c r="P4" s="50">
        <v>0.04</v>
      </c>
      <c r="Q4" s="50">
        <v>0.16000000000000003</v>
      </c>
      <c r="R4" s="50">
        <v>7.8102496759066525E-2</v>
      </c>
      <c r="S4" s="68"/>
      <c r="T4" s="140"/>
      <c r="U4" s="50"/>
      <c r="V4" s="65"/>
      <c r="W4" s="50"/>
      <c r="X4" s="65"/>
      <c r="Y4" s="50"/>
      <c r="Z4" s="65"/>
      <c r="AA4" s="68"/>
      <c r="AB4" s="65"/>
      <c r="AC4" s="65"/>
      <c r="AD4" s="65"/>
    </row>
    <row r="5" spans="1:30" x14ac:dyDescent="0.3">
      <c r="A5" s="144"/>
      <c r="B5" s="33" t="s">
        <v>103</v>
      </c>
      <c r="C5" s="139"/>
      <c r="D5" s="44">
        <f>COUNTIF('Resultados historicos'!H:H,'Estadistico resumen'!B5)</f>
        <v>80</v>
      </c>
      <c r="E5" s="45">
        <f>_xlfn.MINIFS('Resultados historicos'!K:K,'Resultados historicos'!H:H,'Estadistico resumen'!B5)</f>
        <v>43794</v>
      </c>
      <c r="F5" s="45">
        <f>_xlfn.MAXIFS('Resultados historicos'!K:K,'Resultados historicos'!H:H,'Estadistico resumen'!B5)</f>
        <v>45622</v>
      </c>
      <c r="G5" s="43">
        <f>_xlfn.MAXIFS('Resultados historicos'!O:O,'Resultados historicos'!$H:$H,'Estadistico resumen'!$B5)</f>
        <v>2.98</v>
      </c>
      <c r="H5" s="43">
        <f>_xlfn.MINIFS('Resultados historicos'!O:O,'Resultados historicos'!$H:$H,'Estadistico resumen'!$B5)</f>
        <v>0.16</v>
      </c>
      <c r="I5" s="43">
        <f>SUMIF('Resultados historicos'!$H:$H,'Estadistico resumen'!$B5,'Resultados historicos'!O:O)/COUNTIF('Resultados historicos'!$H:$H,'Estadistico resumen'!$B5)</f>
        <v>0.69424999999999992</v>
      </c>
      <c r="J5" s="43" cm="1">
        <f t="array" ref="J5">_xlfn.STDEV.S(_xlfn._xlws.FILTER('Resultados historicos'!O:O,'Resultados historicos'!$H:$H='Estadistico resumen'!$B5))</f>
        <v>0.49237418877531786</v>
      </c>
      <c r="K5" s="43">
        <f>_xlfn.MAXIFS('Resultados historicos'!P:P,'Resultados historicos'!$H:$H,'Estadistico resumen'!$B5)</f>
        <v>2</v>
      </c>
      <c r="L5" s="43">
        <f>_xlfn.MINIFS('Resultados historicos'!P:P,'Resultados historicos'!$H:$H,'Estadistico resumen'!$B5)</f>
        <v>0.04</v>
      </c>
      <c r="M5" s="43">
        <f>SUMIF('Resultados historicos'!$H:$H,'Estadistico resumen'!$B5,'Resultados historicos'!P:P)/COUNTIF('Resultados historicos'!$H:$H,'Estadistico resumen'!$B5)</f>
        <v>0.34362499999999996</v>
      </c>
      <c r="N5" s="43" cm="1">
        <f t="array" ref="N5">_xlfn.STDEV.S(_xlfn._xlws.FILTER('Resultados historicos'!P:P,'Resultados historicos'!$H:$H='Estadistico resumen'!$B5))</f>
        <v>0.33662601323250435</v>
      </c>
      <c r="O5" s="43">
        <f>_xlfn.MAXIFS('Resultados historicos'!Q:Q,'Resultados historicos'!$H:$H,'Estadistico resumen'!$B5)</f>
        <v>1.46</v>
      </c>
      <c r="P5" s="43">
        <f>_xlfn.MINIFS('Resultados historicos'!Q:Q,'Resultados historicos'!$H:$H,'Estadistico resumen'!$B5)</f>
        <v>0.02</v>
      </c>
      <c r="Q5" s="43">
        <f>SUMIF('Resultados historicos'!$H:$H,'Estadistico resumen'!$B5,'Resultados historicos'!Q:Q)/COUNTIF('Resultados historicos'!$H:$H,'Estadistico resumen'!$B5)</f>
        <v>0.21674999999999994</v>
      </c>
      <c r="R5" s="43" cm="1">
        <f t="array" ref="R5">_xlfn.STDEV.S(_xlfn._xlws.FILTER('Resultados historicos'!Q:Q,'Resultados historicos'!$H:$H='Estadistico resumen'!$B5))</f>
        <v>0.24931691489073288</v>
      </c>
      <c r="S5" s="68"/>
      <c r="T5" s="140"/>
      <c r="U5" s="54" t="str">
        <f>TEXT(I5,"0,00")&amp;" ± "&amp;TEXT((_xlfn.NORM.S.INV(1-((1-$T$2)/2))*J5/SQRT(D5)),"0,00")</f>
        <v>0,69 ± 0,14</v>
      </c>
      <c r="V5" s="64">
        <f>I5+(_xlfn.NORM.S.INV(1-((1-$T$2)/2))*J5/SQRT(D5))</f>
        <v>0.83604710506572688</v>
      </c>
      <c r="W5" s="54" t="str">
        <f>TEXT(M5,"0,00")&amp;" ± "&amp;TEXT((_xlfn.NORM.S.INV(1-((1-$T$2)/2))*N5/SQRT(D5)),"0,00")</f>
        <v>0,34 ± 0,10</v>
      </c>
      <c r="X5" s="64">
        <f>M5+(_xlfn.NORM.S.INV(1-((1-$T$2)/2))*N5/SQRT(D5))</f>
        <v>0.44056873761734239</v>
      </c>
      <c r="Y5" s="54" t="str">
        <f>TEXT(Q5,"0,00")&amp;" ± "&amp;TEXT((_xlfn.NORM.S.INV(1-((1-$T$2)/2))*R5/SQRT(D5)),"0,00")</f>
        <v>0,22 ± 0,07</v>
      </c>
      <c r="Z5" s="64">
        <f>Q5+(_xlfn.NORM.S.INV(1-((1-$T$2)/2))*R5/SQRT(D5))</f>
        <v>0.28854989849459045</v>
      </c>
      <c r="AA5" s="68"/>
      <c r="AB5" s="69">
        <f>_xlfn.MINIFS('Resultados historicos'!Y:Y,'Resultados historicos'!$H:$H,'Estadistico resumen'!$B5)</f>
        <v>41.9</v>
      </c>
      <c r="AC5" s="69">
        <f>_xlfn.MAXIFS('Resultados historicos'!Y:Y,'Resultados historicos'!$H:$H,'Estadistico resumen'!$B5)</f>
        <v>103705.2</v>
      </c>
      <c r="AD5" s="69">
        <f>SUMIF('Resultados historicos'!$H:$H,'Estadistico resumen'!$B5,'Resultados historicos'!Y:Y)/COUNTIFS('Resultados historicos'!$H:$H,'Estadistico resumen'!$B5,'Resultados historicos'!Y:Y,"&gt;0")</f>
        <v>2942.9333333333334</v>
      </c>
    </row>
    <row r="6" spans="1:30" x14ac:dyDescent="0.3">
      <c r="A6" s="144"/>
      <c r="B6" s="62" t="s">
        <v>65</v>
      </c>
      <c r="C6" s="139"/>
      <c r="D6" s="44">
        <f>COUNTIF('Resultados historicos'!H:H,'Estadistico resumen'!B6)</f>
        <v>64</v>
      </c>
      <c r="E6" s="45">
        <f>_xlfn.MINIFS('Resultados historicos'!K:K,'Resultados historicos'!H:H,'Estadistico resumen'!B6)</f>
        <v>43794</v>
      </c>
      <c r="F6" s="45">
        <f>_xlfn.MAXIFS('Resultados historicos'!K:K,'Resultados historicos'!H:H,'Estadistico resumen'!B6)</f>
        <v>45622</v>
      </c>
      <c r="G6" s="43">
        <f>_xlfn.MAXIFS('Resultados historicos'!O:O,'Resultados historicos'!$H:$H,'Estadistico resumen'!$B6)</f>
        <v>3.32</v>
      </c>
      <c r="H6" s="43">
        <f>_xlfn.MINIFS('Resultados historicos'!O:O,'Resultados historicos'!$H:$H,'Estadistico resumen'!$B6)</f>
        <v>0.24</v>
      </c>
      <c r="I6" s="43">
        <f>SUMIF('Resultados historicos'!$H:$H,'Estadistico resumen'!$B6,'Resultados historicos'!O:O)/COUNTIF('Resultados historicos'!$H:$H,'Estadistico resumen'!$B6)</f>
        <v>0.84281250000000008</v>
      </c>
      <c r="J6" s="43" cm="1">
        <f t="array" ref="J6">_xlfn.STDEV.S(_xlfn._xlws.FILTER('Resultados historicos'!O:O,'Resultados historicos'!$H:$H='Estadistico resumen'!$B6))</f>
        <v>0.55505603535224468</v>
      </c>
      <c r="K6" s="43">
        <f>_xlfn.MAXIFS('Resultados historicos'!P:P,'Resultados historicos'!$H:$H,'Estadistico resumen'!$B6)</f>
        <v>1.82</v>
      </c>
      <c r="L6" s="43">
        <f>_xlfn.MINIFS('Resultados historicos'!P:P,'Resultados historicos'!$H:$H,'Estadistico resumen'!$B6)</f>
        <v>0.1</v>
      </c>
      <c r="M6" s="43">
        <f>SUMIF('Resultados historicos'!$H:$H,'Estadistico resumen'!$B6,'Resultados historicos'!P:P)/COUNTIF('Resultados historicos'!$H:$H,'Estadistico resumen'!$B6)</f>
        <v>0.38796875000000003</v>
      </c>
      <c r="N6" s="43" cm="1">
        <f t="array" ref="N6">_xlfn.STDEV.S(_xlfn._xlws.FILTER('Resultados historicos'!P:P,'Resultados historicos'!$H:$H='Estadistico resumen'!$B6))</f>
        <v>0.350302271684925</v>
      </c>
      <c r="O6" s="43">
        <f>_xlfn.MAXIFS('Resultados historicos'!Q:Q,'Resultados historicos'!$H:$H,'Estadistico resumen'!$B6)</f>
        <v>1.34</v>
      </c>
      <c r="P6" s="43">
        <f>_xlfn.MINIFS('Resultados historicos'!Q:Q,'Resultados historicos'!$H:$H,'Estadistico resumen'!$B6)</f>
        <v>0.02</v>
      </c>
      <c r="Q6" s="43">
        <f>SUMIF('Resultados historicos'!$H:$H,'Estadistico resumen'!$B6,'Resultados historicos'!Q:Q)/COUNTIF('Resultados historicos'!$H:$H,'Estadistico resumen'!$B6)</f>
        <v>0.23734374999999996</v>
      </c>
      <c r="R6" s="43" cm="1">
        <f t="array" ref="R6">_xlfn.STDEV.S(_xlfn._xlws.FILTER('Resultados historicos'!Q:Q,'Resultados historicos'!$H:$H='Estadistico resumen'!$B6))</f>
        <v>0.28393069905362356</v>
      </c>
      <c r="S6" s="68"/>
      <c r="T6" s="140"/>
      <c r="U6" s="54" t="str">
        <f>TEXT(I6,"0,00")&amp;" ± "&amp;TEXT((_xlfn.NORM.S.INV(1-((1-$T$2)/2))*J6/SQRT(D6)),"0,00")</f>
        <v>0,84 ± 0,18</v>
      </c>
      <c r="V6" s="64">
        <f>I6+(_xlfn.NORM.S.INV(1-((1-$T$2)/2))*J6/SQRT(D6))</f>
        <v>1.0215287001214983</v>
      </c>
      <c r="W6" s="54" t="str">
        <f>TEXT(M6,"0,00")&amp;" ± "&amp;TEXT((_xlfn.NORM.S.INV(1-((1-$T$2)/2))*N6/SQRT(D6)),"0,00")</f>
        <v>0,39 ± 0,11</v>
      </c>
      <c r="X6" s="64">
        <f>M6+(_xlfn.NORM.S.INV(1-((1-$T$2)/2))*N6/SQRT(D6))</f>
        <v>0.50075860706322228</v>
      </c>
      <c r="Y6" s="54" t="str">
        <f>TEXT(Q6,"0,00")&amp;" ± "&amp;TEXT((_xlfn.NORM.S.INV(1-((1-$T$2)/2))*R6/SQRT(D6)),"0,00")</f>
        <v>0,24 ± 0,09</v>
      </c>
      <c r="Z6" s="64">
        <f>Q6+(_xlfn.NORM.S.INV(1-((1-$T$2)/2))*R6/SQRT(D6))</f>
        <v>0.3287633768499309</v>
      </c>
      <c r="AA6" s="68"/>
      <c r="AB6" s="69">
        <f>_xlfn.MINIFS('Resultados historicos'!Y:Y,'Resultados historicos'!$H:$H,'Estadistico resumen'!$B6)</f>
        <v>878.08</v>
      </c>
      <c r="AC6" s="69">
        <f>_xlfn.MAXIFS('Resultados historicos'!Y:Y,'Resultados historicos'!$H:$H,'Estadistico resumen'!$B6)</f>
        <v>8908.2000000000007</v>
      </c>
      <c r="AD6" s="69">
        <f>SUMIF('Resultados historicos'!$H:$H,'Estadistico resumen'!$B6,'Resultados historicos'!Y:Y)/COUNTIFS('Resultados historicos'!$H:$H,'Estadistico resumen'!$B6,'Resultados historicos'!Y:Y,"&gt;0")</f>
        <v>3270.8659374999997</v>
      </c>
    </row>
    <row r="7" spans="1:30" x14ac:dyDescent="0.3">
      <c r="A7" s="144"/>
      <c r="B7" s="62" t="s">
        <v>121</v>
      </c>
      <c r="C7" s="139"/>
      <c r="D7" s="44">
        <f>COUNTIF('Resultados historicos'!H:H,'Estadistico resumen'!B7)</f>
        <v>64</v>
      </c>
      <c r="E7" s="45">
        <f>_xlfn.MINIFS('Resultados historicos'!K:K,'Resultados historicos'!H:H,'Estadistico resumen'!B7)</f>
        <v>43794</v>
      </c>
      <c r="F7" s="45">
        <f>_xlfn.MAXIFS('Resultados historicos'!K:K,'Resultados historicos'!H:H,'Estadistico resumen'!B7)</f>
        <v>45629</v>
      </c>
      <c r="G7" s="43">
        <f>_xlfn.MAXIFS('Resultados historicos'!O:O,'Resultados historicos'!$H:$H,'Estadistico resumen'!$B7)</f>
        <v>4.3</v>
      </c>
      <c r="H7" s="43">
        <f>_xlfn.MINIFS('Resultados historicos'!O:O,'Resultados historicos'!$H:$H,'Estadistico resumen'!$B7)</f>
        <v>0.3</v>
      </c>
      <c r="I7" s="43">
        <f>SUMIF('Resultados historicos'!$H:$H,'Estadistico resumen'!$B7,'Resultados historicos'!O:O)/COUNTIF('Resultados historicos'!$H:$H,'Estadistico resumen'!$B7)</f>
        <v>1.1221874999999997</v>
      </c>
      <c r="J7" s="43" cm="1">
        <f t="array" ref="J7">_xlfn.STDEV.S(_xlfn._xlws.FILTER('Resultados historicos'!O:O,'Resultados historicos'!$H:$H='Estadistico resumen'!$B7))</f>
        <v>0.90880956279551284</v>
      </c>
      <c r="K7" s="43">
        <f>_xlfn.MAXIFS('Resultados historicos'!P:P,'Resultados historicos'!$H:$H,'Estadistico resumen'!$B7)</f>
        <v>3.37</v>
      </c>
      <c r="L7" s="43">
        <f>_xlfn.MINIFS('Resultados historicos'!P:P,'Resultados historicos'!$H:$H,'Estadistico resumen'!$B7)</f>
        <v>0.1</v>
      </c>
      <c r="M7" s="43">
        <f>SUMIF('Resultados historicos'!$H:$H,'Estadistico resumen'!$B7,'Resultados historicos'!P:P)/COUNTIF('Resultados historicos'!$H:$H,'Estadistico resumen'!$B7)</f>
        <v>0.65750000000000008</v>
      </c>
      <c r="N7" s="43" cm="1">
        <f t="array" ref="N7">_xlfn.STDEV.S(_xlfn._xlws.FILTER('Resultados historicos'!P:P,'Resultados historicos'!$H:$H='Estadistico resumen'!$B7))</f>
        <v>0.73462224392529873</v>
      </c>
      <c r="O7" s="43">
        <f>_xlfn.MAXIFS('Resultados historicos'!Q:Q,'Resultados historicos'!$H:$H,'Estadistico resumen'!$B7)</f>
        <v>1.76</v>
      </c>
      <c r="P7" s="43">
        <f>_xlfn.MINIFS('Resultados historicos'!Q:Q,'Resultados historicos'!$H:$H,'Estadistico resumen'!$B7)</f>
        <v>0.06</v>
      </c>
      <c r="Q7" s="43">
        <f>SUMIF('Resultados historicos'!$H:$H,'Estadistico resumen'!$B7,'Resultados historicos'!Q:Q)/COUNTIF('Resultados historicos'!$H:$H,'Estadistico resumen'!$B7)</f>
        <v>0.38718750000000007</v>
      </c>
      <c r="R7" s="43" cm="1">
        <f t="array" ref="R7">_xlfn.STDEV.S(_xlfn._xlws.FILTER('Resultados historicos'!Q:Q,'Resultados historicos'!$H:$H='Estadistico resumen'!$B7))</f>
        <v>0.45195332231941321</v>
      </c>
      <c r="S7" s="68"/>
      <c r="T7" s="140"/>
      <c r="U7" s="54" t="str">
        <f>TEXT(I7,"0,00")&amp;" ± "&amp;TEXT((_xlfn.NORM.S.INV(1-((1-$T$2)/2))*J7/SQRT(D7)),"0,00")</f>
        <v>1,12 ± 0,29</v>
      </c>
      <c r="V7" s="64">
        <f>I7+(_xlfn.NORM.S.INV(1-((1-$T$2)/2))*J7/SQRT(D7))</f>
        <v>1.414804787899268</v>
      </c>
      <c r="W7" s="54" t="str">
        <f>TEXT(M7,"0,00")&amp;" ± "&amp;TEXT((_xlfn.NORM.S.INV(1-((1-$T$2)/2))*N7/SQRT(D7)),"0,00")</f>
        <v>0,66 ± 0,24</v>
      </c>
      <c r="X7" s="64">
        <f>M7+(_xlfn.NORM.S.INV(1-((1-$T$2)/2))*N7/SQRT(D7))</f>
        <v>0.89403268786770407</v>
      </c>
      <c r="Y7" s="54" t="str">
        <f>TEXT(Q7,"0,00")&amp;" ± "&amp;TEXT((_xlfn.NORM.S.INV(1-((1-$T$2)/2))*R7/SQRT(D7)),"0,00")</f>
        <v>0,39 ± 0,15</v>
      </c>
      <c r="Z7" s="64">
        <f>Q7+(_xlfn.NORM.S.INV(1-((1-$T$2)/2))*R7/SQRT(D7))</f>
        <v>0.53270682643332834</v>
      </c>
      <c r="AA7" s="68"/>
      <c r="AB7" s="69">
        <f>_xlfn.MINIFS('Resultados historicos'!Y:Y,'Resultados historicos'!$H:$H,'Estadistico resumen'!$B7)</f>
        <v>145.59</v>
      </c>
      <c r="AC7" s="69">
        <f>_xlfn.MAXIFS('Resultados historicos'!Y:Y,'Resultados historicos'!$H:$H,'Estadistico resumen'!$B7)</f>
        <v>4417.1400000000003</v>
      </c>
      <c r="AD7" s="69">
        <f>SUMIF('Resultados historicos'!$H:$H,'Estadistico resumen'!$B7,'Resultados historicos'!Y:Y)/COUNTIFS('Resultados historicos'!$H:$H,'Estadistico resumen'!$B7,'Resultados historicos'!Y:Y,"&gt;0")</f>
        <v>1253.126956521739</v>
      </c>
    </row>
    <row r="8" spans="1:30" ht="7.5" customHeight="1" x14ac:dyDescent="0.3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</row>
    <row r="9" spans="1:30" x14ac:dyDescent="0.3">
      <c r="A9" s="70">
        <v>1</v>
      </c>
      <c r="B9" s="33" t="s">
        <v>584</v>
      </c>
      <c r="C9" s="38" t="s">
        <v>47</v>
      </c>
      <c r="D9" s="44">
        <f>COUNTIF('Resultados historicos'!D:D,'Estadistico resumen'!C9)</f>
        <v>16</v>
      </c>
      <c r="E9" s="45">
        <f>_xlfn.MINIFS('Resultados historicos'!K:K,'Resultados historicos'!D:D,'Estadistico resumen'!C9)</f>
        <v>43795</v>
      </c>
      <c r="F9" s="45">
        <f>_xlfn.MAXIFS('Resultados historicos'!K:K,'Resultados historicos'!D:D,'Estadistico resumen'!C9)</f>
        <v>45622</v>
      </c>
      <c r="G9" s="43">
        <f>_xlfn.MAXIFS('Resultados historicos'!O:O,'Resultados historicos'!$D:$D,'Estadistico resumen'!$C9)</f>
        <v>1.3</v>
      </c>
      <c r="H9" s="43">
        <f>_xlfn.MINIFS('Resultados historicos'!O:O,'Resultados historicos'!$D:$D,'Estadistico resumen'!$C9)</f>
        <v>0.3</v>
      </c>
      <c r="I9" s="43">
        <f>SUMIF('Resultados historicos'!$D:$D,'Estadistico resumen'!$C9,'Resultados historicos'!O:O)/COUNTIF('Resultados historicos'!$D:$D,'Estadistico resumen'!$C9)</f>
        <v>0.72</v>
      </c>
      <c r="J9" s="43" cm="1">
        <f t="array" ref="J9">_xlfn.STDEV.S(_xlfn._xlws.FILTER('Resultados historicos'!O:O,'Resultados historicos'!$D:$D='Estadistico resumen'!$C9))</f>
        <v>0.29933259094191544</v>
      </c>
      <c r="K9" s="43">
        <f>_xlfn.MAXIFS('Resultados historicos'!P:P,'Resultados historicos'!$D:$D,'Estadistico resumen'!$C9)</f>
        <v>0.54</v>
      </c>
      <c r="L9" s="43">
        <f>_xlfn.MINIFS('Resultados historicos'!P:P,'Resultados historicos'!$D:$D,'Estadistico resumen'!$C9)</f>
        <v>0.1</v>
      </c>
      <c r="M9" s="43">
        <f>SUMIF('Resultados historicos'!$D:$D,'Estadistico resumen'!$C9,'Resultados historicos'!P:P)/COUNTIF('Resultados historicos'!$D:$D,'Estadistico resumen'!$C9)</f>
        <v>0.28625000000000006</v>
      </c>
      <c r="N9" s="43" cm="1">
        <f t="array" ref="N9">_xlfn.STDEV.S(_xlfn._xlws.FILTER('Resultados historicos'!P:P,'Resultados historicos'!$D:$D='Estadistico resumen'!$C9))</f>
        <v>0.1201596160668521</v>
      </c>
      <c r="O9" s="43">
        <f>_xlfn.MAXIFS('Resultados historicos'!Q:Q,'Resultados historicos'!$D:$D,'Estadistico resumen'!$C9)</f>
        <v>0.3</v>
      </c>
      <c r="P9" s="43">
        <f>_xlfn.MINIFS('Resultados historicos'!Q:Q,'Resultados historicos'!$D:$D,'Estadistico resumen'!$C9)</f>
        <v>0.04</v>
      </c>
      <c r="Q9" s="43">
        <f>SUMIF('Resultados historicos'!$D:$D,'Estadistico resumen'!$C9,'Resultados historicos'!Q:Q)/COUNTIF('Resultados historicos'!$D:$D,'Estadistico resumen'!$C9)</f>
        <v>0.16375000000000003</v>
      </c>
      <c r="R9" s="43" cm="1">
        <f t="array" ref="R9">_xlfn.STDEV.S(_xlfn._xlws.FILTER('Resultados historicos'!Q:Q,'Resultados historicos'!$D:$D='Estadistico resumen'!$C9))</f>
        <v>7.9067481727108688E-2</v>
      </c>
      <c r="S9" s="68"/>
      <c r="T9" s="145" t="s">
        <v>585</v>
      </c>
      <c r="U9" s="54" t="str">
        <f>TEXT(I9,"0,00")&amp;" ± "&amp;TEXT((_xlfn.T.INV(1-((1-$T$2)/2),D9-1)*J9/SQRT(D9)),"0,00")</f>
        <v>0,72 ± 0,22</v>
      </c>
      <c r="V9" s="64">
        <f>I9+(_xlfn.T.INV(1-((1-$T$2)/2),D9-1)*J9/SQRT(D9))</f>
        <v>0.94051180054314121</v>
      </c>
      <c r="W9" s="54" t="str">
        <f>TEXT(M9,"0,00")&amp;" ± "&amp;TEXT((_xlfn.T.INV(1-((1-$T$2)/2),D9-1)*N9/SQRT(D9)),"0,00")</f>
        <v>0,29 ± 0,09</v>
      </c>
      <c r="X9" s="64">
        <f>M9+(_xlfn.T.INV(1-((1-$T$2)/2),D9-1)*N9/SQRT(D9))</f>
        <v>0.37476897218440786</v>
      </c>
      <c r="Y9" s="54" t="str">
        <f>TEXT(Q9,"0,00")&amp;" ± "&amp;TEXT((_xlfn.T.INV(1-((1-$T$2)/2),D9-1)*R9/SQRT(D9)),"0,00")</f>
        <v>0,16 ± 0,06</v>
      </c>
      <c r="Z9" s="64">
        <f>Q9+(_xlfn.T.INV(1-((1-$T$2)/2),D9-1)*R9/SQRT(D9))</f>
        <v>0.22199729176730354</v>
      </c>
      <c r="AA9" s="68"/>
      <c r="AB9" s="69">
        <f>_xlfn.MINIFS('Resultados historicos'!Y:Y,'Resultados historicos'!$D:$D,'Estadistico resumen'!$C9)</f>
        <v>1565.49</v>
      </c>
      <c r="AC9" s="69">
        <f>_xlfn.MAXIFS('Resultados historicos'!Y:Y,'Resultados historicos'!$D:$D,'Estadistico resumen'!$C9)</f>
        <v>10163.290000000001</v>
      </c>
      <c r="AD9" s="69">
        <f>SUMIF('Resultados historicos'!D:D,'Estadistico resumen'!$C9,'Resultados historicos'!Y:Y)/COUNTIFS('Resultados historicos'!$D:$D,'Estadistico resumen'!$C9,'Resultados historicos'!Y:Y,"&gt;0")</f>
        <v>4364.4069230769228</v>
      </c>
    </row>
    <row r="10" spans="1:30" x14ac:dyDescent="0.3">
      <c r="A10" s="70">
        <v>2</v>
      </c>
      <c r="B10" s="33" t="s">
        <v>51</v>
      </c>
      <c r="C10" s="33" t="s">
        <v>92</v>
      </c>
      <c r="D10" s="44">
        <f>COUNTIF('Resultados historicos'!D:D,'Estadistico resumen'!C10)</f>
        <v>16</v>
      </c>
      <c r="E10" s="45">
        <f>_xlfn.MINIFS('Resultados historicos'!K:K,'Resultados historicos'!D:D,'Estadistico resumen'!C10)</f>
        <v>43795</v>
      </c>
      <c r="F10" s="45">
        <f>_xlfn.MAXIFS('Resultados historicos'!K:K,'Resultados historicos'!D:D,'Estadistico resumen'!C10)</f>
        <v>45622</v>
      </c>
      <c r="G10" s="43">
        <f>_xlfn.MAXIFS('Resultados historicos'!O:O,'Resultados historicos'!$D:$D,'Estadistico resumen'!$C10)</f>
        <v>2.12</v>
      </c>
      <c r="H10" s="43">
        <f>_xlfn.MINIFS('Resultados historicos'!O:O,'Resultados historicos'!$D:$D,'Estadistico resumen'!$C10)</f>
        <v>0.34</v>
      </c>
      <c r="I10" s="43">
        <f>SUMIF('Resultados historicos'!$D:$D,'Estadistico resumen'!$C10,'Resultados historicos'!O:O)/COUNTIF('Resultados historicos'!$D:$D,'Estadistico resumen'!$C10)</f>
        <v>0.72625000000000006</v>
      </c>
      <c r="J10" s="43" cm="1">
        <f t="array" ref="J10">_xlfn.STDEV.S(_xlfn._xlws.FILTER('Resultados historicos'!O:O,'Resultados historicos'!$D:$D='Estadistico resumen'!$C10))</f>
        <v>0.47021803453291755</v>
      </c>
      <c r="K10" s="43">
        <f>_xlfn.MAXIFS('Resultados historicos'!P:P,'Resultados historicos'!$D:$D,'Estadistico resumen'!$C10)</f>
        <v>1.78</v>
      </c>
      <c r="L10" s="43">
        <f>_xlfn.MINIFS('Resultados historicos'!P:P,'Resultados historicos'!$D:$D,'Estadistico resumen'!$C10)</f>
        <v>0.1</v>
      </c>
      <c r="M10" s="43">
        <f>SUMIF('Resultados historicos'!$D:$D,'Estadistico resumen'!$C10,'Resultados historicos'!P:P)/COUNTIF('Resultados historicos'!$D:$D,'Estadistico resumen'!$C10)</f>
        <v>0.35125000000000006</v>
      </c>
      <c r="N10" s="43" cm="1">
        <f t="array" ref="N10">_xlfn.STDEV.S(_xlfn._xlws.FILTER('Resultados historicos'!P:P,'Resultados historicos'!$D:$D='Estadistico resumen'!$C10))</f>
        <v>0.39913030453725251</v>
      </c>
      <c r="O10" s="43">
        <f>_xlfn.MAXIFS('Resultados historicos'!Q:Q,'Resultados historicos'!$D:$D,'Estadistico resumen'!$C10)</f>
        <v>1.7</v>
      </c>
      <c r="P10" s="43">
        <f>_xlfn.MINIFS('Resultados historicos'!Q:Q,'Resultados historicos'!$D:$D,'Estadistico resumen'!$C10)</f>
        <v>0.04</v>
      </c>
      <c r="Q10" s="43">
        <f>SUMIF('Resultados historicos'!$D:$D,'Estadistico resumen'!$C10,'Resultados historicos'!Q:Q)/COUNTIF('Resultados historicos'!$D:$D,'Estadistico resumen'!$C10)</f>
        <v>0.24249999999999999</v>
      </c>
      <c r="R10" s="43" cm="1">
        <f t="array" ref="R10">_xlfn.STDEV.S(_xlfn._xlws.FILTER('Resultados historicos'!Q:Q,'Resultados historicos'!$D:$D='Estadistico resumen'!$C10))</f>
        <v>0.39502742520825901</v>
      </c>
      <c r="S10" s="68"/>
      <c r="T10" s="145"/>
      <c r="U10" s="54" t="str">
        <f t="shared" ref="U10:U31" si="0">TEXT(I10,"0,00")&amp;" ± "&amp;TEXT((_xlfn.T.INV(1-((1-$T$2)/2),D10-1)*J10/SQRT(D10)),"0,00")</f>
        <v>0,73 ± 0,35</v>
      </c>
      <c r="V10" s="64">
        <f t="shared" ref="V10:V31" si="1">I10+(_xlfn.T.INV(1-((1-$T$2)/2),D10-1)*J10/SQRT(D10))</f>
        <v>1.072649385100138</v>
      </c>
      <c r="W10" s="54" t="str">
        <f t="shared" ref="W10:W31" si="2">TEXT(M10,"0,00")&amp;" ± "&amp;TEXT((_xlfn.T.INV(1-((1-$T$2)/2),D10-1)*N10/SQRT(D10)),"0,00")</f>
        <v>0,35 ± 0,29</v>
      </c>
      <c r="X10" s="64">
        <f t="shared" ref="X10:X31" si="3">M10+(_xlfn.T.INV(1-((1-$T$2)/2),D10-1)*N10/SQRT(D10))</f>
        <v>0.64528060264132925</v>
      </c>
      <c r="Y10" s="54" t="str">
        <f t="shared" ref="Y10:Y31" si="4">TEXT(Q10,"0,00")&amp;" ± "&amp;TEXT((_xlfn.T.INV(1-((1-$T$2)/2),D10-1)*R10/SQRT(D10)),"0,00")</f>
        <v>0,24 ± 0,29</v>
      </c>
      <c r="Z10" s="64">
        <f t="shared" ref="Z10:Z31" si="5">Q10+(_xlfn.T.INV(1-((1-$T$2)/2),D10-1)*R10/SQRT(D10))</f>
        <v>0.53350810079680677</v>
      </c>
      <c r="AA10" s="68"/>
      <c r="AB10" s="81">
        <f>_xlfn.MINIFS('Resultados historicos'!Y:Y,'Resultados historicos'!$D:$D,'Estadistico resumen'!$C10)</f>
        <v>657.5</v>
      </c>
      <c r="AC10" s="69">
        <f>_xlfn.MAXIFS('Resultados historicos'!Y:Y,'Resultados historicos'!$D:$D,'Estadistico resumen'!$C10)</f>
        <v>11230</v>
      </c>
      <c r="AD10" s="69">
        <f>SUMIF('Resultados historicos'!D:D,'Estadistico resumen'!$C10,'Resultados historicos'!Y:Y)/COUNTIFS('Resultados historicos'!$D:$D,'Estadistico resumen'!$C10,'Resultados historicos'!Y:Y,"&gt;0")</f>
        <v>4541.3771428571426</v>
      </c>
    </row>
    <row r="11" spans="1:30" x14ac:dyDescent="0.3">
      <c r="A11" s="70">
        <v>4</v>
      </c>
      <c r="B11" s="33" t="s">
        <v>51</v>
      </c>
      <c r="C11" s="33" t="s">
        <v>147</v>
      </c>
      <c r="D11" s="44">
        <f>COUNTIF('Resultados historicos'!D:D,'Estadistico resumen'!C11)</f>
        <v>16</v>
      </c>
      <c r="E11" s="45">
        <f>_xlfn.MINIFS('Resultados historicos'!K:K,'Resultados historicos'!D:D,'Estadistico resumen'!C11)</f>
        <v>43795</v>
      </c>
      <c r="F11" s="45">
        <f>_xlfn.MAXIFS('Resultados historicos'!K:K,'Resultados historicos'!D:D,'Estadistico resumen'!C11)</f>
        <v>45622</v>
      </c>
      <c r="G11" s="43">
        <f>_xlfn.MAXIFS('Resultados historicos'!O:O,'Resultados historicos'!$D:$D,'Estadistico resumen'!$C11)</f>
        <v>1.82</v>
      </c>
      <c r="H11" s="43">
        <f>_xlfn.MINIFS('Resultados historicos'!O:O,'Resultados historicos'!$D:$D,'Estadistico resumen'!$C11)</f>
        <v>0.44</v>
      </c>
      <c r="I11" s="43">
        <f>SUMIF('Resultados historicos'!$D:$D,'Estadistico resumen'!$C11,'Resultados historicos'!O:O)/COUNTIF('Resultados historicos'!$D:$D,'Estadistico resumen'!$C11)</f>
        <v>0.77499999999999991</v>
      </c>
      <c r="J11" s="43" cm="1">
        <f t="array" ref="J11">_xlfn.STDEV.S(_xlfn._xlws.FILTER('Resultados historicos'!O:O,'Resultados historicos'!$D:$D='Estadistico resumen'!$C11))</f>
        <v>0.38908439530089967</v>
      </c>
      <c r="K11" s="43">
        <f>_xlfn.MAXIFS('Resultados historicos'!P:P,'Resultados historicos'!$D:$D,'Estadistico resumen'!$C11)</f>
        <v>1.38</v>
      </c>
      <c r="L11" s="43">
        <f>_xlfn.MINIFS('Resultados historicos'!P:P,'Resultados historicos'!$D:$D,'Estadistico resumen'!$C11)</f>
        <v>0.1</v>
      </c>
      <c r="M11" s="43">
        <f>SUMIF('Resultados historicos'!$D:$D,'Estadistico resumen'!$C11,'Resultados historicos'!P:P)/COUNTIF('Resultados historicos'!$D:$D,'Estadistico resumen'!$C11)</f>
        <v>0.34375</v>
      </c>
      <c r="N11" s="43" cm="1">
        <f t="array" ref="N11">_xlfn.STDEV.S(_xlfn._xlws.FILTER('Resultados historicos'!P:P,'Resultados historicos'!$D:$D='Estadistico resumen'!$C11))</f>
        <v>0.29970819141291399</v>
      </c>
      <c r="O11" s="43">
        <f>_xlfn.MAXIFS('Resultados historicos'!Q:Q,'Resultados historicos'!$D:$D,'Estadistico resumen'!$C11)</f>
        <v>1.18</v>
      </c>
      <c r="P11" s="43">
        <f>_xlfn.MINIFS('Resultados historicos'!Q:Q,'Resultados historicos'!$D:$D,'Estadistico resumen'!$C11)</f>
        <v>0.06</v>
      </c>
      <c r="Q11" s="43">
        <f>SUMIF('Resultados historicos'!$D:$D,'Estadistico resumen'!$C11,'Resultados historicos'!Q:Q)/COUNTIF('Resultados historicos'!$D:$D,'Estadistico resumen'!$C11)</f>
        <v>0.20250000000000007</v>
      </c>
      <c r="R11" s="43" cm="1">
        <f t="array" ref="R11">_xlfn.STDEV.S(_xlfn._xlws.FILTER('Resultados historicos'!Q:Q,'Resultados historicos'!$D:$D='Estadistico resumen'!$C11))</f>
        <v>0.2688122021039967</v>
      </c>
      <c r="S11" s="68"/>
      <c r="T11" s="145"/>
      <c r="U11" s="54" t="str">
        <f t="shared" si="0"/>
        <v>0,78 ± 0,29</v>
      </c>
      <c r="V11" s="64">
        <f t="shared" si="1"/>
        <v>1.0616300000980832</v>
      </c>
      <c r="W11" s="54" t="str">
        <f t="shared" si="2"/>
        <v>0,34 ± 0,22</v>
      </c>
      <c r="X11" s="64">
        <f t="shared" si="3"/>
        <v>0.56453849722987404</v>
      </c>
      <c r="Y11" s="54" t="str">
        <f t="shared" si="4"/>
        <v>0,20 ± 0,20</v>
      </c>
      <c r="Z11" s="64">
        <f t="shared" si="5"/>
        <v>0.40052809479379914</v>
      </c>
      <c r="AA11" s="68"/>
      <c r="AB11" s="69">
        <f>_xlfn.MINIFS('Resultados historicos'!Y:Y,'Resultados historicos'!$D:$D,'Estadistico resumen'!$C11)</f>
        <v>1006.93</v>
      </c>
      <c r="AC11" s="69">
        <f>_xlfn.MAXIFS('Resultados historicos'!Y:Y,'Resultados historicos'!$D:$D,'Estadistico resumen'!$C11)</f>
        <v>13380</v>
      </c>
      <c r="AD11" s="69">
        <f>SUMIF('Resultados historicos'!D:D,'Estadistico resumen'!$C11,'Resultados historicos'!Y:Y)/COUNTIFS('Resultados historicos'!$D:$D,'Estadistico resumen'!$C11,'Resultados historicos'!Y:Y,"&gt;0")</f>
        <v>6572.8760000000011</v>
      </c>
    </row>
    <row r="12" spans="1:30" x14ac:dyDescent="0.3">
      <c r="A12" s="70">
        <v>6</v>
      </c>
      <c r="B12" s="33" t="s">
        <v>51</v>
      </c>
      <c r="C12" s="33" t="s">
        <v>225</v>
      </c>
      <c r="D12" s="44">
        <f>COUNTIF('Resultados historicos'!D:D,'Estadistico resumen'!C12)</f>
        <v>16</v>
      </c>
      <c r="E12" s="45">
        <f>_xlfn.MINIFS('Resultados historicos'!K:K,'Resultados historicos'!D:D,'Estadistico resumen'!C12)</f>
        <v>43794</v>
      </c>
      <c r="F12" s="45">
        <f>_xlfn.MAXIFS('Resultados historicos'!K:K,'Resultados historicos'!D:D,'Estadistico resumen'!C12)</f>
        <v>45622</v>
      </c>
      <c r="G12" s="43">
        <f>_xlfn.MAXIFS('Resultados historicos'!O:O,'Resultados historicos'!$D:$D,'Estadistico resumen'!$C12)</f>
        <v>2.2000000000000002</v>
      </c>
      <c r="H12" s="43">
        <f>_xlfn.MINIFS('Resultados historicos'!O:O,'Resultados historicos'!$D:$D,'Estadistico resumen'!$C12)</f>
        <v>0.3</v>
      </c>
      <c r="I12" s="43">
        <f>SUMIF('Resultados historicos'!$D:$D,'Estadistico resumen'!$C12,'Resultados historicos'!O:O)/COUNTIF('Resultados historicos'!$D:$D,'Estadistico resumen'!$C12)</f>
        <v>0.6974999999999999</v>
      </c>
      <c r="J12" s="43" cm="1">
        <f t="array" ref="J12">_xlfn.STDEV.S(_xlfn._xlws.FILTER('Resultados historicos'!O:O,'Resultados historicos'!$D:$D='Estadistico resumen'!$C12))</f>
        <v>0.45412920334782858</v>
      </c>
      <c r="K12" s="43">
        <f>_xlfn.MAXIFS('Resultados historicos'!P:P,'Resultados historicos'!$D:$D,'Estadistico resumen'!$C12)</f>
        <v>1.7</v>
      </c>
      <c r="L12" s="43">
        <f>_xlfn.MINIFS('Resultados historicos'!P:P,'Resultados historicos'!$D:$D,'Estadistico resumen'!$C12)</f>
        <v>0.1</v>
      </c>
      <c r="M12" s="43">
        <f>SUMIF('Resultados historicos'!$D:$D,'Estadistico resumen'!$C12,'Resultados historicos'!P:P)/COUNTIF('Resultados historicos'!$D:$D,'Estadistico resumen'!$C12)</f>
        <v>0.32</v>
      </c>
      <c r="N12" s="43" cm="1">
        <f t="array" ref="N12">_xlfn.STDEV.S(_xlfn._xlws.FILTER('Resultados historicos'!P:P,'Resultados historicos'!$D:$D='Estadistico resumen'!$C12))</f>
        <v>0.38045586691056116</v>
      </c>
      <c r="O12" s="43">
        <f>_xlfn.MAXIFS('Resultados historicos'!Q:Q,'Resultados historicos'!$D:$D,'Estadistico resumen'!$C12)</f>
        <v>1.6</v>
      </c>
      <c r="P12" s="43">
        <f>_xlfn.MINIFS('Resultados historicos'!Q:Q,'Resultados historicos'!$D:$D,'Estadistico resumen'!$C12)</f>
        <v>0.04</v>
      </c>
      <c r="Q12" s="43">
        <f>SUMIF('Resultados historicos'!$D:$D,'Estadistico resumen'!$C12,'Resultados historicos'!Q:Q)/COUNTIF('Resultados historicos'!$D:$D,'Estadistico resumen'!$C12)</f>
        <v>0.21625000000000008</v>
      </c>
      <c r="R12" s="43" cm="1">
        <f t="array" ref="R12">_xlfn.STDEV.S(_xlfn._xlws.FILTER('Resultados historicos'!Q:Q,'Resultados historicos'!$D:$D='Estadistico resumen'!$C12))</f>
        <v>0.37289632160517028</v>
      </c>
      <c r="S12" s="68"/>
      <c r="T12" s="145"/>
      <c r="U12" s="54" t="str">
        <f t="shared" si="0"/>
        <v>0,70 ± 0,33</v>
      </c>
      <c r="V12" s="64">
        <f t="shared" si="1"/>
        <v>1.032047093566848</v>
      </c>
      <c r="W12" s="54" t="str">
        <f t="shared" si="2"/>
        <v>0,32 ± 0,28</v>
      </c>
      <c r="X12" s="64">
        <f t="shared" si="3"/>
        <v>0.60027355115477266</v>
      </c>
      <c r="Y12" s="54" t="str">
        <f t="shared" si="4"/>
        <v>0,22 ± 0,27</v>
      </c>
      <c r="Z12" s="64">
        <f t="shared" si="5"/>
        <v>0.49095459876862024</v>
      </c>
      <c r="AA12" s="68"/>
      <c r="AB12" s="69">
        <f>_xlfn.MINIFS('Resultados historicos'!Y:Y,'Resultados historicos'!$D:$D,'Estadistico resumen'!$C12)</f>
        <v>1112.5999999999999</v>
      </c>
      <c r="AC12" s="69">
        <f>_xlfn.MAXIFS('Resultados historicos'!Y:Y,'Resultados historicos'!$D:$D,'Estadistico resumen'!$C12)</f>
        <v>15116.6</v>
      </c>
      <c r="AD12" s="69">
        <f>SUMIF('Resultados historicos'!D:D,'Estadistico resumen'!$C12,'Resultados historicos'!Y:Y)/COUNTIFS('Resultados historicos'!$D:$D,'Estadistico resumen'!$C12,'Resultados historicos'!Y:Y,"&gt;0")</f>
        <v>6673.9818181818173</v>
      </c>
    </row>
    <row r="13" spans="1:30" x14ac:dyDescent="0.3">
      <c r="A13" s="70">
        <v>7</v>
      </c>
      <c r="B13" s="33" t="s">
        <v>51</v>
      </c>
      <c r="C13" s="33" t="s">
        <v>264</v>
      </c>
      <c r="D13" s="44">
        <f>COUNTIF('Resultados historicos'!D:D,'Estadistico resumen'!C13)</f>
        <v>16</v>
      </c>
      <c r="E13" s="45">
        <f>_xlfn.MINIFS('Resultados historicos'!K:K,'Resultados historicos'!D:D,'Estadistico resumen'!C13)</f>
        <v>43794</v>
      </c>
      <c r="F13" s="45">
        <f>_xlfn.MAXIFS('Resultados historicos'!K:K,'Resultados historicos'!D:D,'Estadistico resumen'!C13)</f>
        <v>45622</v>
      </c>
      <c r="G13" s="43">
        <f>_xlfn.MAXIFS('Resultados historicos'!O:O,'Resultados historicos'!$D:$D,'Estadistico resumen'!$C13)</f>
        <v>1.6</v>
      </c>
      <c r="H13" s="43">
        <f>_xlfn.MINIFS('Resultados historicos'!O:O,'Resultados historicos'!$D:$D,'Estadistico resumen'!$C13)</f>
        <v>0.3</v>
      </c>
      <c r="I13" s="43">
        <f>SUMIF('Resultados historicos'!$D:$D,'Estadistico resumen'!$C13,'Resultados historicos'!O:O)/COUNTIF('Resultados historicos'!$D:$D,'Estadistico resumen'!$C13)</f>
        <v>0.75562500000000021</v>
      </c>
      <c r="J13" s="43" cm="1">
        <f t="array" ref="J13">_xlfn.STDEV.S(_xlfn._xlws.FILTER('Resultados historicos'!O:O,'Resultados historicos'!$D:$D='Estadistico resumen'!$C13))</f>
        <v>0.34134964967512882</v>
      </c>
      <c r="K13" s="43">
        <f>_xlfn.MAXIFS('Resultados historicos'!P:P,'Resultados historicos'!$D:$D,'Estadistico resumen'!$C13)</f>
        <v>1.26</v>
      </c>
      <c r="L13" s="43">
        <f>_xlfn.MINIFS('Resultados historicos'!P:P,'Resultados historicos'!$D:$D,'Estadistico resumen'!$C13)</f>
        <v>0.08</v>
      </c>
      <c r="M13" s="43">
        <f>SUMIF('Resultados historicos'!$D:$D,'Estadistico resumen'!$C13,'Resultados historicos'!P:P)/COUNTIF('Resultados historicos'!$D:$D,'Estadistico resumen'!$C13)</f>
        <v>0.34500000000000008</v>
      </c>
      <c r="N13" s="43" cm="1">
        <f t="array" ref="N13">_xlfn.STDEV.S(_xlfn._xlws.FILTER('Resultados historicos'!P:P,'Resultados historicos'!$D:$D='Estadistico resumen'!$C13))</f>
        <v>0.28109310438595475</v>
      </c>
      <c r="O13" s="43">
        <f>_xlfn.MAXIFS('Resultados historicos'!Q:Q,'Resultados historicos'!$D:$D,'Estadistico resumen'!$C13)</f>
        <v>1.1200000000000001</v>
      </c>
      <c r="P13" s="43">
        <f>_xlfn.MINIFS('Resultados historicos'!Q:Q,'Resultados historicos'!$D:$D,'Estadistico resumen'!$C13)</f>
        <v>0.02</v>
      </c>
      <c r="Q13" s="43">
        <f>SUMIF('Resultados historicos'!$D:$D,'Estadistico resumen'!$C13,'Resultados historicos'!Q:Q)/COUNTIF('Resultados historicos'!$D:$D,'Estadistico resumen'!$C13)</f>
        <v>0.21687500000000004</v>
      </c>
      <c r="R13" s="43" cm="1">
        <f t="array" ref="R13">_xlfn.STDEV.S(_xlfn._xlws.FILTER('Resultados historicos'!Q:Q,'Resultados historicos'!$D:$D='Estadistico resumen'!$C13))</f>
        <v>0.2550220578695106</v>
      </c>
      <c r="S13" s="68"/>
      <c r="T13" s="145"/>
      <c r="U13" s="54" t="str">
        <f t="shared" si="0"/>
        <v>0,76 ± 0,25</v>
      </c>
      <c r="V13" s="64">
        <f t="shared" si="1"/>
        <v>1.0070898526168655</v>
      </c>
      <c r="W13" s="54" t="str">
        <f t="shared" si="2"/>
        <v>0,35 ± 0,21</v>
      </c>
      <c r="X13" s="64">
        <f t="shared" si="3"/>
        <v>0.55207516803753576</v>
      </c>
      <c r="Y13" s="54" t="str">
        <f t="shared" si="4"/>
        <v>0,22 ± 0,19</v>
      </c>
      <c r="Z13" s="64">
        <f t="shared" si="5"/>
        <v>0.4047441958736136</v>
      </c>
      <c r="AA13" s="68"/>
      <c r="AB13" s="69">
        <f>_xlfn.MINIFS('Resultados historicos'!Y:Y,'Resultados historicos'!$D:$D,'Estadistico resumen'!$C13)</f>
        <v>1556.25</v>
      </c>
      <c r="AC13" s="69">
        <f>_xlfn.MAXIFS('Resultados historicos'!Y:Y,'Resultados historicos'!$D:$D,'Estadistico resumen'!$C13)</f>
        <v>21383.7</v>
      </c>
      <c r="AD13" s="69">
        <f>SUMIF('Resultados historicos'!D:D,'Estadistico resumen'!$C13,'Resultados historicos'!Y:Y)/COUNTIFS('Resultados historicos'!$D:$D,'Estadistico resumen'!$C13,'Resultados historicos'!Y:Y,"&gt;0")</f>
        <v>12277.59375</v>
      </c>
    </row>
    <row r="14" spans="1:30" x14ac:dyDescent="0.3">
      <c r="A14" s="70">
        <v>8</v>
      </c>
      <c r="B14" s="33" t="s">
        <v>51</v>
      </c>
      <c r="C14" s="33" t="s">
        <v>312</v>
      </c>
      <c r="D14" s="44">
        <f>COUNTIF('Resultados historicos'!D:D,'Estadistico resumen'!C14)</f>
        <v>16</v>
      </c>
      <c r="E14" s="45">
        <f>_xlfn.MINIFS('Resultados historicos'!K:K,'Resultados historicos'!D:D,'Estadistico resumen'!C14)</f>
        <v>43794</v>
      </c>
      <c r="F14" s="45">
        <f>_xlfn.MAXIFS('Resultados historicos'!K:K,'Resultados historicos'!D:D,'Estadistico resumen'!C14)</f>
        <v>45622</v>
      </c>
      <c r="G14" s="43">
        <f>_xlfn.MAXIFS('Resultados historicos'!O:O,'Resultados historicos'!$D:$D,'Estadistico resumen'!$C14)</f>
        <v>2.2000000000000002</v>
      </c>
      <c r="H14" s="43">
        <f>_xlfn.MINIFS('Resultados historicos'!O:O,'Resultados historicos'!$D:$D,'Estadistico resumen'!$C14)</f>
        <v>0.24</v>
      </c>
      <c r="I14" s="43">
        <f>SUMIF('Resultados historicos'!$D:$D,'Estadistico resumen'!$C14,'Resultados historicos'!O:O)/COUNTIF('Resultados historicos'!$D:$D,'Estadistico resumen'!$C14)</f>
        <v>0.80249999999999999</v>
      </c>
      <c r="J14" s="43" cm="1">
        <f t="array" ref="J14">_xlfn.STDEV.S(_xlfn._xlws.FILTER('Resultados historicos'!O:O,'Resultados historicos'!$D:$D='Estadistico resumen'!$C14))</f>
        <v>0.44547353082609381</v>
      </c>
      <c r="K14" s="43">
        <f>_xlfn.MAXIFS('Resultados historicos'!P:P,'Resultados historicos'!$D:$D,'Estadistico resumen'!$C14)</f>
        <v>1.46</v>
      </c>
      <c r="L14" s="43">
        <f>_xlfn.MINIFS('Resultados historicos'!P:P,'Resultados historicos'!$D:$D,'Estadistico resumen'!$C14)</f>
        <v>0.08</v>
      </c>
      <c r="M14" s="43">
        <f>SUMIF('Resultados historicos'!$D:$D,'Estadistico resumen'!$C14,'Resultados historicos'!P:P)/COUNTIF('Resultados historicos'!$D:$D,'Estadistico resumen'!$C14)</f>
        <v>0.36250000000000004</v>
      </c>
      <c r="N14" s="43" cm="1">
        <f t="array" ref="N14">_xlfn.STDEV.S(_xlfn._xlws.FILTER('Resultados historicos'!P:P,'Resultados historicos'!$D:$D='Estadistico resumen'!$C14))</f>
        <v>0.32247997353840946</v>
      </c>
      <c r="O14" s="43">
        <f>_xlfn.MAXIFS('Resultados historicos'!Q:Q,'Resultados historicos'!$D:$D,'Estadistico resumen'!$C14)</f>
        <v>1.3</v>
      </c>
      <c r="P14" s="43">
        <f>_xlfn.MINIFS('Resultados historicos'!Q:Q,'Resultados historicos'!$D:$D,'Estadistico resumen'!$C14)</f>
        <v>0.04</v>
      </c>
      <c r="Q14" s="43">
        <f>SUMIF('Resultados historicos'!$D:$D,'Estadistico resumen'!$C14,'Resultados historicos'!Q:Q)/COUNTIF('Resultados historicos'!$D:$D,'Estadistico resumen'!$C14)</f>
        <v>0.24000000000000007</v>
      </c>
      <c r="R14" s="43" cm="1">
        <f t="array" ref="R14">_xlfn.STDEV.S(_xlfn._xlws.FILTER('Resultados historicos'!Q:Q,'Resultados historicos'!$D:$D='Estadistico resumen'!$C14))</f>
        <v>0.2957476401709177</v>
      </c>
      <c r="S14" s="68"/>
      <c r="T14" s="145"/>
      <c r="U14" s="54" t="str">
        <f t="shared" si="0"/>
        <v>0,80 ± 0,33</v>
      </c>
      <c r="V14" s="64">
        <f t="shared" si="1"/>
        <v>1.1306706481331135</v>
      </c>
      <c r="W14" s="54" t="str">
        <f t="shared" si="2"/>
        <v>0,36 ± 0,24</v>
      </c>
      <c r="X14" s="64">
        <f t="shared" si="3"/>
        <v>0.60006397317209625</v>
      </c>
      <c r="Y14" s="54" t="str">
        <f t="shared" si="4"/>
        <v>0,24 ± 0,22</v>
      </c>
      <c r="Z14" s="64">
        <f t="shared" si="5"/>
        <v>0.45787084538726053</v>
      </c>
      <c r="AA14" s="68"/>
      <c r="AB14" s="69">
        <f>_xlfn.MINIFS('Resultados historicos'!Y:Y,'Resultados historicos'!$D:$D,'Estadistico resumen'!$C14)</f>
        <v>1512.32</v>
      </c>
      <c r="AC14" s="69">
        <f>_xlfn.MAXIFS('Resultados historicos'!Y:Y,'Resultados historicos'!$D:$D,'Estadistico resumen'!$C14)</f>
        <v>41900.9</v>
      </c>
      <c r="AD14" s="69">
        <f>SUMIF('Resultados historicos'!D:D,'Estadistico resumen'!$C14,'Resultados historicos'!Y:Y)/COUNTIFS('Resultados historicos'!$D:$D,'Estadistico resumen'!$C14,'Resultados historicos'!Y:Y,"&gt;0")</f>
        <v>17118.838888888888</v>
      </c>
    </row>
    <row r="15" spans="1:30" x14ac:dyDescent="0.3">
      <c r="A15" s="70">
        <v>9</v>
      </c>
      <c r="B15" s="33" t="s">
        <v>51</v>
      </c>
      <c r="C15" s="33" t="s">
        <v>354</v>
      </c>
      <c r="D15" s="44">
        <f>COUNTIF('Resultados historicos'!D:D,'Estadistico resumen'!C15)</f>
        <v>15</v>
      </c>
      <c r="E15" s="45">
        <f>_xlfn.MINIFS('Resultados historicos'!K:K,'Resultados historicos'!D:D,'Estadistico resumen'!C15)</f>
        <v>43794</v>
      </c>
      <c r="F15" s="45">
        <f>_xlfn.MAXIFS('Resultados historicos'!K:K,'Resultados historicos'!D:D,'Estadistico resumen'!C15)</f>
        <v>45622</v>
      </c>
      <c r="G15" s="43">
        <f>_xlfn.MAXIFS('Resultados historicos'!O:O,'Resultados historicos'!$D:$D,'Estadistico resumen'!$C15)</f>
        <v>2.34</v>
      </c>
      <c r="H15" s="43">
        <f>_xlfn.MINIFS('Resultados historicos'!O:O,'Resultados historicos'!$D:$D,'Estadistico resumen'!$C15)</f>
        <v>0.28000000000000003</v>
      </c>
      <c r="I15" s="43">
        <f>SUMIF('Resultados historicos'!$D:$D,'Estadistico resumen'!$C15,'Resultados historicos'!O:O)/COUNTIF('Resultados historicos'!$D:$D,'Estadistico resumen'!$C15)</f>
        <v>1.0293333333333334</v>
      </c>
      <c r="J15" s="43" cm="1">
        <f t="array" ref="J15">_xlfn.STDEV.S(_xlfn._xlws.FILTER('Resultados historicos'!O:O,'Resultados historicos'!$D:$D='Estadistico resumen'!$C15))</f>
        <v>0.55192477058105671</v>
      </c>
      <c r="K15" s="43">
        <f>_xlfn.MAXIFS('Resultados historicos'!P:P,'Resultados historicos'!$D:$D,'Estadistico resumen'!$C15)</f>
        <v>1.38</v>
      </c>
      <c r="L15" s="43">
        <f>_xlfn.MINIFS('Resultados historicos'!P:P,'Resultados historicos'!$D:$D,'Estadistico resumen'!$C15)</f>
        <v>0.1</v>
      </c>
      <c r="M15" s="43">
        <f>SUMIF('Resultados historicos'!$D:$D,'Estadistico resumen'!$C15,'Resultados historicos'!P:P)/COUNTIF('Resultados historicos'!$D:$D,'Estadistico resumen'!$C15)</f>
        <v>0.53466666666666673</v>
      </c>
      <c r="N15" s="43" cm="1">
        <f t="array" ref="N15">_xlfn.STDEV.S(_xlfn._xlws.FILTER('Resultados historicos'!P:P,'Resultados historicos'!$D:$D='Estadistico resumen'!$C15))</f>
        <v>0.37747027634478642</v>
      </c>
      <c r="O15" s="43">
        <f>_xlfn.MAXIFS('Resultados historicos'!Q:Q,'Resultados historicos'!$D:$D,'Estadistico resumen'!$C15)</f>
        <v>0.9</v>
      </c>
      <c r="P15" s="43">
        <f>_xlfn.MINIFS('Resultados historicos'!Q:Q,'Resultados historicos'!$D:$D,'Estadistico resumen'!$C15)</f>
        <v>0.08</v>
      </c>
      <c r="Q15" s="43">
        <f>SUMIF('Resultados historicos'!$D:$D,'Estadistico resumen'!$C15,'Resultados historicos'!Q:Q)/COUNTIF('Resultados historicos'!$D:$D,'Estadistico resumen'!$C15)</f>
        <v>0.33200000000000002</v>
      </c>
      <c r="R15" s="43" cm="1">
        <f t="array" ref="R15">_xlfn.STDEV.S(_xlfn._xlws.FILTER('Resultados historicos'!Q:Q,'Resultados historicos'!$D:$D='Estadistico resumen'!$C15))</f>
        <v>0.2584348494854582</v>
      </c>
      <c r="S15" s="68"/>
      <c r="T15" s="145"/>
      <c r="U15" s="54" t="str">
        <f t="shared" si="0"/>
        <v>1,03 ± 0,42</v>
      </c>
      <c r="V15" s="64">
        <f t="shared" si="1"/>
        <v>1.4535523645957307</v>
      </c>
      <c r="W15" s="54" t="str">
        <f t="shared" si="2"/>
        <v>0,53 ± 0,29</v>
      </c>
      <c r="X15" s="64">
        <f t="shared" si="3"/>
        <v>0.82479692263026938</v>
      </c>
      <c r="Y15" s="54" t="str">
        <f t="shared" si="4"/>
        <v>0,33 ± 0,20</v>
      </c>
      <c r="Z15" s="64">
        <f t="shared" si="5"/>
        <v>0.53063754507293603</v>
      </c>
      <c r="AA15" s="68"/>
      <c r="AB15" s="69">
        <f>_xlfn.MINIFS('Resultados historicos'!Y:Y,'Resultados historicos'!$D:$D,'Estadistico resumen'!$C15)</f>
        <v>1668.09</v>
      </c>
      <c r="AC15" s="69">
        <f>_xlfn.MAXIFS('Resultados historicos'!Y:Y,'Resultados historicos'!$D:$D,'Estadistico resumen'!$C15)</f>
        <v>11041.71</v>
      </c>
      <c r="AD15" s="69">
        <f>SUMIF('Resultados historicos'!D:D,'Estadistico resumen'!$C15,'Resultados historicos'!Y:Y)/COUNTIFS('Resultados historicos'!$D:$D,'Estadistico resumen'!$C15,'Resultados historicos'!Y:Y,"&gt;0")</f>
        <v>4949.8066666666664</v>
      </c>
    </row>
    <row r="16" spans="1:30" x14ac:dyDescent="0.3">
      <c r="A16" s="70">
        <v>10</v>
      </c>
      <c r="B16" s="33" t="s">
        <v>51</v>
      </c>
      <c r="C16" s="33" t="s">
        <v>405</v>
      </c>
      <c r="D16" s="44">
        <f>COUNTIF('Resultados historicos'!D:D,'Estadistico resumen'!C16)</f>
        <v>16</v>
      </c>
      <c r="E16" s="45">
        <f>_xlfn.MINIFS('Resultados historicos'!K:K,'Resultados historicos'!D:D,'Estadistico resumen'!C16)</f>
        <v>43794</v>
      </c>
      <c r="F16" s="45">
        <f>_xlfn.MAXIFS('Resultados historicos'!K:K,'Resultados historicos'!D:D,'Estadistico resumen'!C16)</f>
        <v>45622</v>
      </c>
      <c r="G16" s="43">
        <f>_xlfn.MAXIFS('Resultados historicos'!O:O,'Resultados historicos'!$D:$D,'Estadistico resumen'!$C16)</f>
        <v>1.82</v>
      </c>
      <c r="H16" s="43">
        <f>_xlfn.MINIFS('Resultados historicos'!O:O,'Resultados historicos'!$D:$D,'Estadistico resumen'!$C16)</f>
        <v>0.08</v>
      </c>
      <c r="I16" s="43">
        <f>SUMIF('Resultados historicos'!$D:$D,'Estadistico resumen'!$C16,'Resultados historicos'!O:O)/COUNTIF('Resultados historicos'!$D:$D,'Estadistico resumen'!$C16)</f>
        <v>0.96499999999999997</v>
      </c>
      <c r="J16" s="43" cm="1">
        <f t="array" ref="J16">_xlfn.STDEV.S(_xlfn._xlws.FILTER('Resultados historicos'!O:O,'Resultados historicos'!$D:$D='Estadistico resumen'!$C16))</f>
        <v>0.47924941314518082</v>
      </c>
      <c r="K16" s="43">
        <f>_xlfn.MAXIFS('Resultados historicos'!P:P,'Resultados historicos'!$D:$D,'Estadistico resumen'!$C16)</f>
        <v>1.02</v>
      </c>
      <c r="L16" s="43">
        <f>_xlfn.MINIFS('Resultados historicos'!P:P,'Resultados historicos'!$D:$D,'Estadistico resumen'!$C16)</f>
        <v>0.16</v>
      </c>
      <c r="M16" s="43">
        <f>SUMIF('Resultados historicos'!$D:$D,'Estadistico resumen'!$C16,'Resultados historicos'!P:P)/COUNTIF('Resultados historicos'!$D:$D,'Estadistico resumen'!$C16)</f>
        <v>0.54374999999999996</v>
      </c>
      <c r="N16" s="43" cm="1">
        <f t="array" ref="N16">_xlfn.STDEV.S(_xlfn._xlws.FILTER('Resultados historicos'!P:P,'Resultados historicos'!$D:$D='Estadistico resumen'!$C16))</f>
        <v>0.29386788414750836</v>
      </c>
      <c r="O16" s="43">
        <f>_xlfn.MAXIFS('Resultados historicos'!Q:Q,'Resultados historicos'!$D:$D,'Estadistico resumen'!$C16)</f>
        <v>0.7</v>
      </c>
      <c r="P16" s="43">
        <f>_xlfn.MINIFS('Resultados historicos'!Q:Q,'Resultados historicos'!$D:$D,'Estadistico resumen'!$C16)</f>
        <v>0.04</v>
      </c>
      <c r="Q16" s="43">
        <f>SUMIF('Resultados historicos'!$D:$D,'Estadistico resumen'!$C16,'Resultados historicos'!Q:Q)/COUNTIF('Resultados historicos'!$D:$D,'Estadistico resumen'!$C16)</f>
        <v>0.29750000000000004</v>
      </c>
      <c r="R16" s="43" cm="1">
        <f t="array" ref="R16">_xlfn.STDEV.S(_xlfn._xlws.FILTER('Resultados historicos'!Q:Q,'Resultados historicos'!$D:$D='Estadistico resumen'!$C16))</f>
        <v>0.20770170918892311</v>
      </c>
      <c r="S16" s="68"/>
      <c r="T16" s="145"/>
      <c r="U16" s="54" t="str">
        <f t="shared" si="0"/>
        <v>0,97 ± 0,35</v>
      </c>
      <c r="V16" s="64">
        <f t="shared" si="1"/>
        <v>1.3180526050282126</v>
      </c>
      <c r="W16" s="54" t="str">
        <f t="shared" si="2"/>
        <v>0,54 ± 0,22</v>
      </c>
      <c r="X16" s="64">
        <f t="shared" si="3"/>
        <v>0.76023607006426774</v>
      </c>
      <c r="Y16" s="54" t="str">
        <f t="shared" si="4"/>
        <v>0,30 ± 0,15</v>
      </c>
      <c r="Z16" s="64">
        <f t="shared" si="5"/>
        <v>0.45050932559670676</v>
      </c>
      <c r="AA16" s="68"/>
      <c r="AB16" s="69">
        <f>_xlfn.MINIFS('Resultados historicos'!Y:Y,'Resultados historicos'!$D:$D,'Estadistico resumen'!$C16)</f>
        <v>2347.48</v>
      </c>
      <c r="AC16" s="81">
        <f>_xlfn.MAXIFS('Resultados historicos'!Y:Y,'Resultados historicos'!$D:$D,'Estadistico resumen'!$C16)</f>
        <v>45152.5</v>
      </c>
      <c r="AD16" s="69">
        <f>SUMIF('Resultados historicos'!D:D,'Estadistico resumen'!$C16,'Resultados historicos'!Y:Y)/COUNTIFS('Resultados historicos'!$D:$D,'Estadistico resumen'!$C16,'Resultados historicos'!Y:Y,"&gt;0")</f>
        <v>16143.695000000002</v>
      </c>
    </row>
    <row r="17" spans="1:30" x14ac:dyDescent="0.3">
      <c r="A17" s="70">
        <v>11</v>
      </c>
      <c r="B17" s="33" t="s">
        <v>51</v>
      </c>
      <c r="C17" s="33" t="s">
        <v>448</v>
      </c>
      <c r="D17" s="44">
        <f>COUNTIF('Resultados historicos'!D:D,'Estadistico resumen'!C17)</f>
        <v>16</v>
      </c>
      <c r="E17" s="45">
        <f>_xlfn.MINIFS('Resultados historicos'!K:K,'Resultados historicos'!D:D,'Estadistico resumen'!C17)</f>
        <v>43794</v>
      </c>
      <c r="F17" s="45">
        <f>_xlfn.MAXIFS('Resultados historicos'!K:K,'Resultados historicos'!D:D,'Estadistico resumen'!C17)</f>
        <v>45622</v>
      </c>
      <c r="G17" s="43">
        <f>_xlfn.MAXIFS('Resultados historicos'!O:O,'Resultados historicos'!$D:$D,'Estadistico resumen'!$C17)</f>
        <v>1.86</v>
      </c>
      <c r="H17" s="43">
        <f>_xlfn.MINIFS('Resultados historicos'!O:O,'Resultados historicos'!$D:$D,'Estadistico resumen'!$C17)</f>
        <v>0.3</v>
      </c>
      <c r="I17" s="43">
        <f>SUMIF('Resultados historicos'!$D:$D,'Estadistico resumen'!$C17,'Resultados historicos'!O:O)/COUNTIF('Resultados historicos'!$D:$D,'Estadistico resumen'!$C17)</f>
        <v>0.93</v>
      </c>
      <c r="J17" s="43" cm="1">
        <f t="array" ref="J17">_xlfn.STDEV.S(_xlfn._xlws.FILTER('Resultados historicos'!O:O,'Resultados historicos'!$D:$D='Estadistico resumen'!$C17))</f>
        <v>0.41773995100620492</v>
      </c>
      <c r="K17" s="43">
        <f>_xlfn.MAXIFS('Resultados historicos'!P:P,'Resultados historicos'!$D:$D,'Estadistico resumen'!$C17)</f>
        <v>1.22</v>
      </c>
      <c r="L17" s="43">
        <f>_xlfn.MINIFS('Resultados historicos'!P:P,'Resultados historicos'!$D:$D,'Estadistico resumen'!$C17)</f>
        <v>0.12</v>
      </c>
      <c r="M17" s="43">
        <f>SUMIF('Resultados historicos'!$D:$D,'Estadistico resumen'!$C17,'Resultados historicos'!P:P)/COUNTIF('Resultados historicos'!$D:$D,'Estadistico resumen'!$C17)</f>
        <v>0.505</v>
      </c>
      <c r="N17" s="43" cm="1">
        <f t="array" ref="N17">_xlfn.STDEV.S(_xlfn._xlws.FILTER('Resultados historicos'!P:P,'Resultados historicos'!$D:$D='Estadistico resumen'!$C17))</f>
        <v>0.30519938837859201</v>
      </c>
      <c r="O17" s="43">
        <f>_xlfn.MAXIFS('Resultados historicos'!Q:Q,'Resultados historicos'!$D:$D,'Estadistico resumen'!$C17)</f>
        <v>1.1000000000000001</v>
      </c>
      <c r="P17" s="43">
        <f>_xlfn.MINIFS('Resultados historicos'!Q:Q,'Resultados historicos'!$D:$D,'Estadistico resumen'!$C17)</f>
        <v>0.04</v>
      </c>
      <c r="Q17" s="43">
        <f>SUMIF('Resultados historicos'!$D:$D,'Estadistico resumen'!$C17,'Resultados historicos'!Q:Q)/COUNTIF('Resultados historicos'!$D:$D,'Estadistico resumen'!$C17)</f>
        <v>0.3125</v>
      </c>
      <c r="R17" s="43" cm="1">
        <f t="array" ref="R17">_xlfn.STDEV.S(_xlfn._xlws.FILTER('Resultados historicos'!Q:Q,'Resultados historicos'!$D:$D='Estadistico resumen'!$C17))</f>
        <v>0.2733373983437562</v>
      </c>
      <c r="S17" s="68"/>
      <c r="T17" s="145"/>
      <c r="U17" s="54" t="str">
        <f t="shared" si="0"/>
        <v>0,93 ± 0,31</v>
      </c>
      <c r="V17" s="64">
        <f t="shared" si="1"/>
        <v>1.2377399238930746</v>
      </c>
      <c r="W17" s="54" t="str">
        <f t="shared" si="2"/>
        <v>0,51 ± 0,22</v>
      </c>
      <c r="X17" s="64">
        <f t="shared" si="3"/>
        <v>0.72983374244098986</v>
      </c>
      <c r="Y17" s="54" t="str">
        <f t="shared" si="4"/>
        <v>0,31 ± 0,20</v>
      </c>
      <c r="Z17" s="64">
        <f t="shared" si="5"/>
        <v>0.5138617083087873</v>
      </c>
      <c r="AA17" s="68"/>
      <c r="AB17" s="69">
        <f>_xlfn.MINIFS('Resultados historicos'!Y:Y,'Resultados historicos'!$D:$D,'Estadistico resumen'!$C17)</f>
        <v>4245.24</v>
      </c>
      <c r="AC17" s="69">
        <f>_xlfn.MAXIFS('Resultados historicos'!Y:Y,'Resultados historicos'!$D:$D,'Estadistico resumen'!$C17)</f>
        <v>23788.1</v>
      </c>
      <c r="AD17" s="69">
        <f>SUMIF('Resultados historicos'!D:D,'Estadistico resumen'!$C17,'Resultados historicos'!Y:Y)/COUNTIFS('Resultados historicos'!$D:$D,'Estadistico resumen'!$C17,'Resultados historicos'!Y:Y,"&gt;0")</f>
        <v>14356.867499999998</v>
      </c>
    </row>
    <row r="18" spans="1:30" x14ac:dyDescent="0.3">
      <c r="A18" s="71">
        <v>12</v>
      </c>
      <c r="B18" s="72" t="s">
        <v>51</v>
      </c>
      <c r="C18" s="72" t="s">
        <v>499</v>
      </c>
      <c r="D18" s="73">
        <f>COUNTIF('Resultados historicos'!D:D,'Estadistico resumen'!C18)</f>
        <v>15</v>
      </c>
      <c r="E18" s="74">
        <f>_xlfn.MINIFS('Resultados historicos'!K:K,'Resultados historicos'!D:D,'Estadistico resumen'!C18)</f>
        <v>43794</v>
      </c>
      <c r="F18" s="74">
        <f>_xlfn.MAXIFS('Resultados historicos'!K:K,'Resultados historicos'!D:D,'Estadistico resumen'!C18)</f>
        <v>45622</v>
      </c>
      <c r="G18" s="75">
        <f>_xlfn.MAXIFS('Resultados historicos'!O:O,'Resultados historicos'!$D:$D,'Estadistico resumen'!$C18)</f>
        <v>1.4</v>
      </c>
      <c r="H18" s="75">
        <f>_xlfn.MINIFS('Resultados historicos'!O:O,'Resultados historicos'!$D:$D,'Estadistico resumen'!$C18)</f>
        <v>0.25</v>
      </c>
      <c r="I18" s="75">
        <f>SUMIF('Resultados historicos'!$D:$D,'Estadistico resumen'!$C18,'Resultados historicos'!O:O)/COUNTIF('Resultados historicos'!$D:$D,'Estadistico resumen'!$C18)</f>
        <v>0.83933333333333349</v>
      </c>
      <c r="J18" s="75" cm="1">
        <f t="array" ref="J18">_xlfn.STDEV.S(_xlfn._xlws.FILTER('Resultados historicos'!O:O,'Resultados historicos'!$D:$D='Estadistico resumen'!$C18))</f>
        <v>0.27251387033288682</v>
      </c>
      <c r="K18" s="75">
        <f>_xlfn.MAXIFS('Resultados historicos'!P:P,'Resultados historicos'!$D:$D,'Estadistico resumen'!$C18)</f>
        <v>0.74</v>
      </c>
      <c r="L18" s="75">
        <f>_xlfn.MINIFS('Resultados historicos'!P:P,'Resultados historicos'!$D:$D,'Estadistico resumen'!$C18)</f>
        <v>0.08</v>
      </c>
      <c r="M18" s="75">
        <f>SUMIF('Resultados historicos'!$D:$D,'Estadistico resumen'!$C18,'Resultados historicos'!P:P)/COUNTIF('Resultados historicos'!$D:$D,'Estadistico resumen'!$C18)</f>
        <v>0.41866666666666674</v>
      </c>
      <c r="N18" s="75" cm="1">
        <f t="array" ref="N18">_xlfn.STDEV.S(_xlfn._xlws.FILTER('Resultados historicos'!P:P,'Resultados historicos'!$D:$D='Estadistico resumen'!$C18))</f>
        <v>0.17751726944830154</v>
      </c>
      <c r="O18" s="75">
        <f>_xlfn.MAXIFS('Resultados historicos'!Q:Q,'Resultados historicos'!$D:$D,'Estadistico resumen'!$C18)</f>
        <v>0.48</v>
      </c>
      <c r="P18" s="75">
        <f>_xlfn.MINIFS('Resultados historicos'!Q:Q,'Resultados historicos'!$D:$D,'Estadistico resumen'!$C18)</f>
        <v>0.06</v>
      </c>
      <c r="Q18" s="75">
        <f>SUMIF('Resultados historicos'!$D:$D,'Estadistico resumen'!$C18,'Resultados historicos'!Q:Q)/COUNTIF('Resultados historicos'!$D:$D,'Estadistico resumen'!$C18)</f>
        <v>0.25733333333333336</v>
      </c>
      <c r="R18" s="75" cm="1">
        <f t="array" ref="R18">_xlfn.STDEV.S(_xlfn._xlws.FILTER('Resultados historicos'!Q:Q,'Resultados historicos'!$D:$D='Estadistico resumen'!$C18))</f>
        <v>0.10686885599159544</v>
      </c>
      <c r="S18" s="68"/>
      <c r="T18" s="145"/>
      <c r="U18" s="82" t="str">
        <f t="shared" si="0"/>
        <v>0,84 ± 0,21</v>
      </c>
      <c r="V18" s="83">
        <f t="shared" si="1"/>
        <v>1.0487922600571264</v>
      </c>
      <c r="W18" s="82" t="str">
        <f t="shared" si="2"/>
        <v>0,42 ± 0,14</v>
      </c>
      <c r="X18" s="83">
        <f t="shared" si="3"/>
        <v>0.5551095445582015</v>
      </c>
      <c r="Y18" s="82" t="str">
        <f t="shared" si="4"/>
        <v>0,26 ± 0,08</v>
      </c>
      <c r="Z18" s="83">
        <f t="shared" si="5"/>
        <v>0.33947460507431088</v>
      </c>
      <c r="AA18" s="84"/>
      <c r="AB18" s="85">
        <f>_xlfn.MINIFS('Resultados historicos'!Y:Y,'Resultados historicos'!$D:$D,'Estadistico resumen'!$C18)</f>
        <v>1487.24</v>
      </c>
      <c r="AC18" s="85">
        <f>_xlfn.MAXIFS('Resultados historicos'!Y:Y,'Resultados historicos'!$D:$D,'Estadistico resumen'!$C18)</f>
        <v>8599.4</v>
      </c>
      <c r="AD18" s="85">
        <f>SUMIF('Resultados historicos'!D:D,'Estadistico resumen'!$C18,'Resultados historicos'!Y:Y)/COUNTIFS('Resultados historicos'!$D:$D,'Estadistico resumen'!$C18,'Resultados historicos'!Y:Y,"&gt;0")</f>
        <v>4433.7119999999995</v>
      </c>
    </row>
    <row r="19" spans="1:30" x14ac:dyDescent="0.3">
      <c r="A19" s="76">
        <v>1</v>
      </c>
      <c r="B19" s="77" t="s">
        <v>103</v>
      </c>
      <c r="C19" s="77" t="s">
        <v>99</v>
      </c>
      <c r="D19" s="78">
        <f>COUNTIF('Resultados historicos'!D:D,'Estadistico resumen'!C19)</f>
        <v>16</v>
      </c>
      <c r="E19" s="79">
        <f>_xlfn.MINIFS('Resultados historicos'!K:K,'Resultados historicos'!D:D,'Estadistico resumen'!C19)</f>
        <v>43794</v>
      </c>
      <c r="F19" s="79">
        <f>_xlfn.MAXIFS('Resultados historicos'!K:K,'Resultados historicos'!D:D,'Estadistico resumen'!C19)</f>
        <v>45622</v>
      </c>
      <c r="G19" s="80">
        <f>_xlfn.MAXIFS('Resultados historicos'!O:O,'Resultados historicos'!$D:$D,'Estadistico resumen'!$C19)</f>
        <v>0.8</v>
      </c>
      <c r="H19" s="80">
        <f>_xlfn.MINIFS('Resultados historicos'!O:O,'Resultados historicos'!$D:$D,'Estadistico resumen'!$C19)</f>
        <v>0.24</v>
      </c>
      <c r="I19" s="80">
        <f>SUMIF('Resultados historicos'!$D:$D,'Estadistico resumen'!$C19,'Resultados historicos'!O:O)/COUNTIF('Resultados historicos'!$D:$D,'Estadistico resumen'!$C19)</f>
        <v>0.43875000000000003</v>
      </c>
      <c r="J19" s="80" cm="1">
        <f t="array" ref="J19">_xlfn.STDEV.S(_xlfn._xlws.FILTER('Resultados historicos'!O:O,'Resultados historicos'!$D:$D='Estadistico resumen'!$C19))</f>
        <v>0.16467645045158477</v>
      </c>
      <c r="K19" s="80">
        <f>_xlfn.MAXIFS('Resultados historicos'!P:P,'Resultados historicos'!$D:$D,'Estadistico resumen'!$C19)</f>
        <v>0.4</v>
      </c>
      <c r="L19" s="80">
        <f>_xlfn.MINIFS('Resultados historicos'!P:P,'Resultados historicos'!$D:$D,'Estadistico resumen'!$C19)</f>
        <v>0.08</v>
      </c>
      <c r="M19" s="80">
        <f>SUMIF('Resultados historicos'!$D:$D,'Estadistico resumen'!$C19,'Resultados historicos'!P:P)/COUNTIF('Resultados historicos'!$D:$D,'Estadistico resumen'!$C19)</f>
        <v>0.17750000000000005</v>
      </c>
      <c r="N19" s="80" cm="1">
        <f t="array" ref="N19">_xlfn.STDEV.S(_xlfn._xlws.FILTER('Resultados historicos'!P:P,'Resultados historicos'!$D:$D='Estadistico resumen'!$C19))</f>
        <v>0.10142320576015457</v>
      </c>
      <c r="O19" s="80">
        <f>_xlfn.MAXIFS('Resultados historicos'!Q:Q,'Resultados historicos'!$D:$D,'Estadistico resumen'!$C19)</f>
        <v>0.22</v>
      </c>
      <c r="P19" s="80">
        <f>_xlfn.MINIFS('Resultados historicos'!Q:Q,'Resultados historicos'!$D:$D,'Estadistico resumen'!$C19)</f>
        <v>0.02</v>
      </c>
      <c r="Q19" s="80">
        <f>SUMIF('Resultados historicos'!$D:$D,'Estadistico resumen'!$C19,'Resultados historicos'!Q:Q)/COUNTIF('Resultados historicos'!$D:$D,'Estadistico resumen'!$C19)</f>
        <v>0.11000000000000001</v>
      </c>
      <c r="R19" s="80" cm="1">
        <f t="array" ref="R19">_xlfn.STDEV.S(_xlfn._xlws.FILTER('Resultados historicos'!Q:Q,'Resultados historicos'!$D:$D='Estadistico resumen'!$C19))</f>
        <v>6.4498061986388369E-2</v>
      </c>
      <c r="S19" s="68"/>
      <c r="T19" s="145"/>
      <c r="U19" s="54" t="str">
        <f t="shared" si="0"/>
        <v>0,44 ± 0,12</v>
      </c>
      <c r="V19" s="64">
        <f t="shared" si="1"/>
        <v>0.5600635545376641</v>
      </c>
      <c r="W19" s="54" t="str">
        <f t="shared" si="2"/>
        <v>0,18 ± 0,07</v>
      </c>
      <c r="X19" s="64">
        <f t="shared" si="3"/>
        <v>0.25221626677420189</v>
      </c>
      <c r="Y19" s="54" t="str">
        <f t="shared" si="4"/>
        <v>0,11 ± 0,05</v>
      </c>
      <c r="Z19" s="64">
        <f t="shared" si="5"/>
        <v>0.15751431755361878</v>
      </c>
      <c r="AA19" s="68"/>
      <c r="AB19" s="81">
        <f>_xlfn.MINIFS('Resultados historicos'!Y:Y,'Resultados historicos'!$D:$D,'Estadistico resumen'!$C19)</f>
        <v>41.9</v>
      </c>
      <c r="AC19" s="69">
        <f>_xlfn.MAXIFS('Resultados historicos'!Y:Y,'Resultados historicos'!$D:$D,'Estadistico resumen'!$C19)</f>
        <v>958.1</v>
      </c>
      <c r="AD19" s="69">
        <f>SUMIF('Resultados historicos'!D:D,'Estadistico resumen'!$C19,'Resultados historicos'!Y:Y)/COUNTIFS('Resultados historicos'!$D:$D,'Estadistico resumen'!$C19,'Resultados historicos'!Y:Y,"&gt;0")</f>
        <v>202.15375</v>
      </c>
    </row>
    <row r="20" spans="1:30" x14ac:dyDescent="0.3">
      <c r="A20" s="70">
        <v>2</v>
      </c>
      <c r="B20" s="33" t="s">
        <v>103</v>
      </c>
      <c r="C20" s="33" t="s">
        <v>181</v>
      </c>
      <c r="D20" s="44">
        <f>COUNTIF('Resultados historicos'!D:D,'Estadistico resumen'!C20)</f>
        <v>16</v>
      </c>
      <c r="E20" s="45">
        <f>_xlfn.MINIFS('Resultados historicos'!K:K,'Resultados historicos'!D:D,'Estadistico resumen'!C20)</f>
        <v>43794</v>
      </c>
      <c r="F20" s="45">
        <f>_xlfn.MAXIFS('Resultados historicos'!K:K,'Resultados historicos'!D:D,'Estadistico resumen'!C20)</f>
        <v>45622</v>
      </c>
      <c r="G20" s="43">
        <f>_xlfn.MAXIFS('Resultados historicos'!O:O,'Resultados historicos'!$D:$D,'Estadistico resumen'!$C20)</f>
        <v>0.78</v>
      </c>
      <c r="H20" s="43">
        <f>_xlfn.MINIFS('Resultados historicos'!O:O,'Resultados historicos'!$D:$D,'Estadistico resumen'!$C20)</f>
        <v>0.24</v>
      </c>
      <c r="I20" s="43">
        <f>SUMIF('Resultados historicos'!$D:$D,'Estadistico resumen'!$C20,'Resultados historicos'!O:O)/COUNTIF('Resultados historicos'!$D:$D,'Estadistico resumen'!$C20)</f>
        <v>0.47375000000000012</v>
      </c>
      <c r="J20" s="43" cm="1">
        <f t="array" ref="J20">_xlfn.STDEV.S(_xlfn._xlws.FILTER('Resultados historicos'!O:O,'Resultados historicos'!$D:$D='Estadistico resumen'!$C20))</f>
        <v>0.16357974609753242</v>
      </c>
      <c r="K20" s="43">
        <f>_xlfn.MAXIFS('Resultados historicos'!P:P,'Resultados historicos'!$D:$D,'Estadistico resumen'!$C20)</f>
        <v>0.46</v>
      </c>
      <c r="L20" s="43">
        <f>_xlfn.MINIFS('Resultados historicos'!P:P,'Resultados historicos'!$D:$D,'Estadistico resumen'!$C20)</f>
        <v>0.08</v>
      </c>
      <c r="M20" s="43">
        <f>SUMIF('Resultados historicos'!$D:$D,'Estadistico resumen'!$C20,'Resultados historicos'!P:P)/COUNTIF('Resultados historicos'!$D:$D,'Estadistico resumen'!$C20)</f>
        <v>0.20500000000000002</v>
      </c>
      <c r="N20" s="43" cm="1">
        <f t="array" ref="N20">_xlfn.STDEV.S(_xlfn._xlws.FILTER('Resultados historicos'!P:P,'Resultados historicos'!$D:$D='Estadistico resumen'!$C20))</f>
        <v>0.11039323650779814</v>
      </c>
      <c r="O20" s="43">
        <f>_xlfn.MAXIFS('Resultados historicos'!Q:Q,'Resultados historicos'!$D:$D,'Estadistico resumen'!$C20)</f>
        <v>0.22</v>
      </c>
      <c r="P20" s="43">
        <f>_xlfn.MINIFS('Resultados historicos'!Q:Q,'Resultados historicos'!$D:$D,'Estadistico resumen'!$C20)</f>
        <v>0.02</v>
      </c>
      <c r="Q20" s="43">
        <f>SUMIF('Resultados historicos'!$D:$D,'Estadistico resumen'!$C20,'Resultados historicos'!Q:Q)/COUNTIF('Resultados historicos'!$D:$D,'Estadistico resumen'!$C20)</f>
        <v>0.12</v>
      </c>
      <c r="R20" s="43" cm="1">
        <f t="array" ref="R20">_xlfn.STDEV.S(_xlfn._xlws.FILTER('Resultados historicos'!Q:Q,'Resultados historicos'!$D:$D='Estadistico resumen'!$C20))</f>
        <v>6.4083279150388903E-2</v>
      </c>
      <c r="S20" s="68"/>
      <c r="T20" s="145"/>
      <c r="U20" s="54" t="str">
        <f t="shared" si="0"/>
        <v>0,47 ± 0,12</v>
      </c>
      <c r="V20" s="64">
        <f t="shared" si="1"/>
        <v>0.59425563632530187</v>
      </c>
      <c r="W20" s="54" t="str">
        <f t="shared" si="2"/>
        <v>0,21 ± 0,08</v>
      </c>
      <c r="X20" s="64">
        <f t="shared" si="3"/>
        <v>0.28632429306651441</v>
      </c>
      <c r="Y20" s="54" t="str">
        <f t="shared" si="4"/>
        <v>0,12 ± 0,05</v>
      </c>
      <c r="Z20" s="64">
        <f t="shared" si="5"/>
        <v>0.16720875607194774</v>
      </c>
      <c r="AA20" s="68"/>
      <c r="AB20" s="69">
        <f>_xlfn.MINIFS('Resultados historicos'!Y:Y,'Resultados historicos'!$D:$D,'Estadistico resumen'!$C20)</f>
        <v>128.4</v>
      </c>
      <c r="AC20" s="69">
        <f>_xlfn.MAXIFS('Resultados historicos'!Y:Y,'Resultados historicos'!$D:$D,'Estadistico resumen'!$C20)</f>
        <v>2185.9</v>
      </c>
      <c r="AD20" s="69">
        <f>SUMIF('Resultados historicos'!D:D,'Estadistico resumen'!$C20,'Resultados historicos'!Y:Y)/COUNTIFS('Resultados historicos'!$D:$D,'Estadistico resumen'!$C20,'Resultados historicos'!Y:Y,"&gt;0")</f>
        <v>495.68562499999996</v>
      </c>
    </row>
    <row r="21" spans="1:30" x14ac:dyDescent="0.3">
      <c r="A21" s="70">
        <v>3</v>
      </c>
      <c r="B21" s="33" t="s">
        <v>103</v>
      </c>
      <c r="C21" s="33" t="s">
        <v>278</v>
      </c>
      <c r="D21" s="44">
        <f>COUNTIF('Resultados historicos'!D:D,'Estadistico resumen'!C21)</f>
        <v>16</v>
      </c>
      <c r="E21" s="45">
        <f>_xlfn.MINIFS('Resultados historicos'!K:K,'Resultados historicos'!D:D,'Estadistico resumen'!C21)</f>
        <v>43794</v>
      </c>
      <c r="F21" s="45">
        <f>_xlfn.MAXIFS('Resultados historicos'!K:K,'Resultados historicos'!D:D,'Estadistico resumen'!C21)</f>
        <v>45622</v>
      </c>
      <c r="G21" s="43">
        <f>_xlfn.MAXIFS('Resultados historicos'!O:O,'Resultados historicos'!$D:$D,'Estadistico resumen'!$C21)</f>
        <v>2.52</v>
      </c>
      <c r="H21" s="43">
        <f>_xlfn.MINIFS('Resultados historicos'!O:O,'Resultados historicos'!$D:$D,'Estadistico resumen'!$C21)</f>
        <v>0.2</v>
      </c>
      <c r="I21" s="43">
        <f>SUMIF('Resultados historicos'!$D:$D,'Estadistico resumen'!$C21,'Resultados historicos'!O:O)/COUNTIF('Resultados historicos'!$D:$D,'Estadistico resumen'!$C21)</f>
        <v>0.84250000000000003</v>
      </c>
      <c r="J21" s="43" cm="1">
        <f t="array" ref="J21">_xlfn.STDEV.S(_xlfn._xlws.FILTER('Resultados historicos'!O:O,'Resultados historicos'!$D:$D='Estadistico resumen'!$C21))</f>
        <v>0.62014514430091272</v>
      </c>
      <c r="K21" s="43">
        <f>_xlfn.MAXIFS('Resultados historicos'!P:P,'Resultados historicos'!$D:$D,'Estadistico resumen'!$C21)</f>
        <v>1.5</v>
      </c>
      <c r="L21" s="43">
        <f>_xlfn.MINIFS('Resultados historicos'!P:P,'Resultados historicos'!$D:$D,'Estadistico resumen'!$C21)</f>
        <v>0.08</v>
      </c>
      <c r="M21" s="43">
        <f>SUMIF('Resultados historicos'!$D:$D,'Estadistico resumen'!$C21,'Resultados historicos'!P:P)/COUNTIF('Resultados historicos'!$D:$D,'Estadistico resumen'!$C21)</f>
        <v>0.46187500000000004</v>
      </c>
      <c r="N21" s="43" cm="1">
        <f t="array" ref="N21">_xlfn.STDEV.S(_xlfn._xlws.FILTER('Resultados historicos'!P:P,'Resultados historicos'!$D:$D='Estadistico resumen'!$C21))</f>
        <v>0.42680547872147412</v>
      </c>
      <c r="O21" s="43">
        <f>_xlfn.MAXIFS('Resultados historicos'!Q:Q,'Resultados historicos'!$D:$D,'Estadistico resumen'!$C21)</f>
        <v>1.1000000000000001</v>
      </c>
      <c r="P21" s="43">
        <f>_xlfn.MINIFS('Resultados historicos'!Q:Q,'Resultados historicos'!$D:$D,'Estadistico resumen'!$C21)</f>
        <v>0.06</v>
      </c>
      <c r="Q21" s="43">
        <f>SUMIF('Resultados historicos'!$D:$D,'Estadistico resumen'!$C21,'Resultados historicos'!Q:Q)/COUNTIF('Resultados historicos'!$D:$D,'Estadistico resumen'!$C21)</f>
        <v>0.29312500000000002</v>
      </c>
      <c r="R21" s="43" cm="1">
        <f t="array" ref="R21">_xlfn.STDEV.S(_xlfn._xlws.FILTER('Resultados historicos'!Q:Q,'Resultados historicos'!$D:$D='Estadistico resumen'!$C21))</f>
        <v>0.32612305959560722</v>
      </c>
      <c r="S21" s="68"/>
      <c r="T21" s="145"/>
      <c r="U21" s="54" t="str">
        <f t="shared" si="0"/>
        <v>0,84 ± 0,46</v>
      </c>
      <c r="V21" s="64">
        <f t="shared" si="1"/>
        <v>1.2993474215840273</v>
      </c>
      <c r="W21" s="54" t="str">
        <f t="shared" si="2"/>
        <v>0,46 ± 0,31</v>
      </c>
      <c r="X21" s="64">
        <f t="shared" si="3"/>
        <v>0.77629330072159597</v>
      </c>
      <c r="Y21" s="54" t="str">
        <f t="shared" si="4"/>
        <v>0,29 ± 0,24</v>
      </c>
      <c r="Z21" s="64">
        <f t="shared" si="5"/>
        <v>0.53337275532718453</v>
      </c>
      <c r="AA21" s="68"/>
      <c r="AB21" s="69">
        <f>_xlfn.MINIFS('Resultados historicos'!Y:Y,'Resultados historicos'!$D:$D,'Estadistico resumen'!$C21)</f>
        <v>435.3</v>
      </c>
      <c r="AC21" s="69">
        <f>_xlfn.MAXIFS('Resultados historicos'!Y:Y,'Resultados historicos'!$D:$D,'Estadistico resumen'!$C21)</f>
        <v>9004.5</v>
      </c>
      <c r="AD21" s="69">
        <f>SUMIF('Resultados historicos'!D:D,'Estadistico resumen'!$C21,'Resultados historicos'!Y:Y)/COUNTIFS('Resultados historicos'!$D:$D,'Estadistico resumen'!$C21,'Resultados historicos'!Y:Y,"&gt;0")</f>
        <v>1904.2539999999999</v>
      </c>
    </row>
    <row r="22" spans="1:30" x14ac:dyDescent="0.3">
      <c r="A22" s="70">
        <v>4</v>
      </c>
      <c r="B22" s="33" t="s">
        <v>103</v>
      </c>
      <c r="C22" s="33" t="s">
        <v>363</v>
      </c>
      <c r="D22" s="44">
        <f>COUNTIF('Resultados historicos'!D:D,'Estadistico resumen'!C22)</f>
        <v>16</v>
      </c>
      <c r="E22" s="45">
        <f>_xlfn.MINIFS('Resultados historicos'!K:K,'Resultados historicos'!D:D,'Estadistico resumen'!C22)</f>
        <v>43794</v>
      </c>
      <c r="F22" s="45">
        <f>_xlfn.MAXIFS('Resultados historicos'!K:K,'Resultados historicos'!D:D,'Estadistico resumen'!C22)</f>
        <v>45622</v>
      </c>
      <c r="G22" s="43">
        <f>_xlfn.MAXIFS('Resultados historicos'!O:O,'Resultados historicos'!$D:$D,'Estadistico resumen'!$C22)</f>
        <v>1.02</v>
      </c>
      <c r="H22" s="43">
        <f>_xlfn.MINIFS('Resultados historicos'!O:O,'Resultados historicos'!$D:$D,'Estadistico resumen'!$C22)</f>
        <v>0.16</v>
      </c>
      <c r="I22" s="43">
        <f>SUMIF('Resultados historicos'!$D:$D,'Estadistico resumen'!$C22,'Resultados historicos'!O:O)/COUNTIF('Resultados historicos'!$D:$D,'Estadistico resumen'!$C22)</f>
        <v>0.61499999999999999</v>
      </c>
      <c r="J22" s="43" cm="1">
        <f t="array" ref="J22">_xlfn.STDEV.S(_xlfn._xlws.FILTER('Resultados historicos'!O:O,'Resultados historicos'!$D:$D='Estadistico resumen'!$C22))</f>
        <v>0.24292660071168276</v>
      </c>
      <c r="K22" s="43">
        <f>_xlfn.MAXIFS('Resultados historicos'!P:P,'Resultados historicos'!$D:$D,'Estadistico resumen'!$C22)</f>
        <v>0.52</v>
      </c>
      <c r="L22" s="43">
        <f>_xlfn.MINIFS('Resultados historicos'!P:P,'Resultados historicos'!$D:$D,'Estadistico resumen'!$C22)</f>
        <v>0.04</v>
      </c>
      <c r="M22" s="43">
        <f>SUMIF('Resultados historicos'!$D:$D,'Estadistico resumen'!$C22,'Resultados historicos'!P:P)/COUNTIF('Resultados historicos'!$D:$D,'Estadistico resumen'!$C22)</f>
        <v>0.26000000000000006</v>
      </c>
      <c r="N22" s="43" cm="1">
        <f t="array" ref="N22">_xlfn.STDEV.S(_xlfn._xlws.FILTER('Resultados historicos'!P:P,'Resultados historicos'!$D:$D='Estadistico resumen'!$C22))</f>
        <v>0.1336662510384227</v>
      </c>
      <c r="O22" s="43">
        <f>_xlfn.MAXIFS('Resultados historicos'!Q:Q,'Resultados historicos'!$D:$D,'Estadistico resumen'!$C22)</f>
        <v>0.32</v>
      </c>
      <c r="P22" s="43">
        <f>_xlfn.MINIFS('Resultados historicos'!Q:Q,'Resultados historicos'!$D:$D,'Estadistico resumen'!$C22)</f>
        <v>0.02</v>
      </c>
      <c r="Q22" s="43">
        <f>SUMIF('Resultados historicos'!$D:$D,'Estadistico resumen'!$C22,'Resultados historicos'!Q:Q)/COUNTIF('Resultados historicos'!$D:$D,'Estadistico resumen'!$C22)</f>
        <v>0.14875000000000005</v>
      </c>
      <c r="R22" s="43" cm="1">
        <f t="array" ref="R22">_xlfn.STDEV.S(_xlfn._xlws.FILTER('Resultados historicos'!Q:Q,'Resultados historicos'!$D:$D='Estadistico resumen'!$C22))</f>
        <v>8.1639451247543224E-2</v>
      </c>
      <c r="S22" s="68"/>
      <c r="T22" s="145"/>
      <c r="U22" s="54" t="str">
        <f t="shared" si="0"/>
        <v>0,62 ± 0,18</v>
      </c>
      <c r="V22" s="64">
        <f t="shared" si="1"/>
        <v>0.79395873601399003</v>
      </c>
      <c r="W22" s="54" t="str">
        <f t="shared" si="2"/>
        <v>0,26 ± 0,10</v>
      </c>
      <c r="X22" s="64">
        <f t="shared" si="3"/>
        <v>0.35846901600518893</v>
      </c>
      <c r="Y22" s="54" t="str">
        <f t="shared" si="4"/>
        <v>0,15 ± 0,06</v>
      </c>
      <c r="Z22" s="64">
        <f t="shared" si="5"/>
        <v>0.20889200569774607</v>
      </c>
      <c r="AA22" s="68"/>
      <c r="AB22" s="69">
        <f>_xlfn.MINIFS('Resultados historicos'!Y:Y,'Resultados historicos'!$D:$D,'Estadistico resumen'!$C22)</f>
        <v>644.20000000000005</v>
      </c>
      <c r="AC22" s="81">
        <f>_xlfn.MAXIFS('Resultados historicos'!Y:Y,'Resultados historicos'!$D:$D,'Estadistico resumen'!$C22)</f>
        <v>103705.2</v>
      </c>
      <c r="AD22" s="69">
        <f>SUMIF('Resultados historicos'!D:D,'Estadistico resumen'!$C22,'Resultados historicos'!Y:Y)/COUNTIFS('Resultados historicos'!$D:$D,'Estadistico resumen'!$C22,'Resultados historicos'!Y:Y,"&gt;0")</f>
        <v>11202.889090909091</v>
      </c>
    </row>
    <row r="23" spans="1:30" x14ac:dyDescent="0.3">
      <c r="A23" s="71">
        <v>5</v>
      </c>
      <c r="B23" s="72" t="s">
        <v>103</v>
      </c>
      <c r="C23" s="72" t="s">
        <v>436</v>
      </c>
      <c r="D23" s="73">
        <f>COUNTIF('Resultados historicos'!D:D,'Estadistico resumen'!C23)</f>
        <v>16</v>
      </c>
      <c r="E23" s="74">
        <f>_xlfn.MINIFS('Resultados historicos'!K:K,'Resultados historicos'!D:D,'Estadistico resumen'!C23)</f>
        <v>43794</v>
      </c>
      <c r="F23" s="74">
        <f>_xlfn.MAXIFS('Resultados historicos'!K:K,'Resultados historicos'!D:D,'Estadistico resumen'!C23)</f>
        <v>45622</v>
      </c>
      <c r="G23" s="75">
        <f>_xlfn.MAXIFS('Resultados historicos'!O:O,'Resultados historicos'!$D:$D,'Estadistico resumen'!$C23)</f>
        <v>2.98</v>
      </c>
      <c r="H23" s="75">
        <f>_xlfn.MINIFS('Resultados historicos'!O:O,'Resultados historicos'!$D:$D,'Estadistico resumen'!$C23)</f>
        <v>0.18</v>
      </c>
      <c r="I23" s="75">
        <f>SUMIF('Resultados historicos'!$D:$D,'Estadistico resumen'!$C23,'Resultados historicos'!O:O)/COUNTIF('Resultados historicos'!$D:$D,'Estadistico resumen'!$C23)</f>
        <v>1.1012500000000001</v>
      </c>
      <c r="J23" s="75" cm="1">
        <f t="array" ref="J23">_xlfn.STDEV.S(_xlfn._xlws.FILTER('Resultados historicos'!O:O,'Resultados historicos'!$D:$D='Estadistico resumen'!$C23))</f>
        <v>0.67157402173302283</v>
      </c>
      <c r="K23" s="75">
        <f>_xlfn.MAXIFS('Resultados historicos'!P:P,'Resultados historicos'!$D:$D,'Estadistico resumen'!$C23)</f>
        <v>2</v>
      </c>
      <c r="L23" s="75">
        <f>_xlfn.MINIFS('Resultados historicos'!P:P,'Resultados historicos'!$D:$D,'Estadistico resumen'!$C23)</f>
        <v>0.06</v>
      </c>
      <c r="M23" s="75">
        <f>SUMIF('Resultados historicos'!$D:$D,'Estadistico resumen'!$C23,'Resultados historicos'!P:P)/COUNTIF('Resultados historicos'!$D:$D,'Estadistico resumen'!$C23)</f>
        <v>0.61375000000000002</v>
      </c>
      <c r="N23" s="75" cm="1">
        <f t="array" ref="N23">_xlfn.STDEV.S(_xlfn._xlws.FILTER('Resultados historicos'!P:P,'Resultados historicos'!$D:$D='Estadistico resumen'!$C23))</f>
        <v>0.47345362321280549</v>
      </c>
      <c r="O23" s="75">
        <f>_xlfn.MAXIFS('Resultados historicos'!Q:Q,'Resultados historicos'!$D:$D,'Estadistico resumen'!$C23)</f>
        <v>1.46</v>
      </c>
      <c r="P23" s="75">
        <f>_xlfn.MINIFS('Resultados historicos'!Q:Q,'Resultados historicos'!$D:$D,'Estadistico resumen'!$C23)</f>
        <v>0.02</v>
      </c>
      <c r="Q23" s="75">
        <f>SUMIF('Resultados historicos'!$D:$D,'Estadistico resumen'!$C23,'Resultados historicos'!Q:Q)/COUNTIF('Resultados historicos'!$D:$D,'Estadistico resumen'!$C23)</f>
        <v>0.41187499999999994</v>
      </c>
      <c r="R23" s="75" cm="1">
        <f t="array" ref="R23">_xlfn.STDEV.S(_xlfn._xlws.FILTER('Resultados historicos'!Q:Q,'Resultados historicos'!$D:$D='Estadistico resumen'!$C23))</f>
        <v>0.3635605176583398</v>
      </c>
      <c r="S23" s="68"/>
      <c r="T23" s="145"/>
      <c r="U23" s="82" t="str">
        <f t="shared" si="0"/>
        <v>1,10 ± 0,49</v>
      </c>
      <c r="V23" s="83">
        <f t="shared" si="1"/>
        <v>1.5959839555119943</v>
      </c>
      <c r="W23" s="82" t="str">
        <f t="shared" si="2"/>
        <v>0,61 ± 0,35</v>
      </c>
      <c r="X23" s="83">
        <f t="shared" si="3"/>
        <v>0.9625329728123011</v>
      </c>
      <c r="Y23" s="82" t="str">
        <f t="shared" si="4"/>
        <v>0,41 ± 0,27</v>
      </c>
      <c r="Z23" s="83">
        <f t="shared" si="5"/>
        <v>0.679702115326689</v>
      </c>
      <c r="AA23" s="84"/>
      <c r="AB23" s="85">
        <f>_xlfn.MINIFS('Resultados historicos'!Y:Y,'Resultados historicos'!$D:$D,'Estadistico resumen'!$C23)</f>
        <v>1294.44</v>
      </c>
      <c r="AC23" s="85">
        <f>_xlfn.MAXIFS('Resultados historicos'!Y:Y,'Resultados historicos'!$D:$D,'Estadistico resumen'!$C23)</f>
        <v>7197</v>
      </c>
      <c r="AD23" s="85">
        <f>SUMIF('Resultados historicos'!D:D,'Estadistico resumen'!$C23,'Resultados historicos'!Y:Y)/COUNTIFS('Resultados historicos'!$D:$D,'Estadistico resumen'!$C23,'Resultados historicos'!Y:Y,"&gt;0")</f>
        <v>3909.0725000000002</v>
      </c>
    </row>
    <row r="24" spans="1:30" x14ac:dyDescent="0.3">
      <c r="A24" s="76">
        <v>1</v>
      </c>
      <c r="B24" s="77" t="s">
        <v>65</v>
      </c>
      <c r="C24" s="77" t="s">
        <v>61</v>
      </c>
      <c r="D24" s="78">
        <f>COUNTIF('Resultados historicos'!D:D,'Estadistico resumen'!C24)</f>
        <v>16</v>
      </c>
      <c r="E24" s="79">
        <f>_xlfn.MINIFS('Resultados historicos'!K:K,'Resultados historicos'!D:D,'Estadistico resumen'!C24)</f>
        <v>43794</v>
      </c>
      <c r="F24" s="79">
        <f>_xlfn.MAXIFS('Resultados historicos'!K:K,'Resultados historicos'!D:D,'Estadistico resumen'!C24)</f>
        <v>45622</v>
      </c>
      <c r="G24" s="80">
        <f>_xlfn.MAXIFS('Resultados historicos'!O:O,'Resultados historicos'!$D:$D,'Estadistico resumen'!$C24)</f>
        <v>1.1000000000000001</v>
      </c>
      <c r="H24" s="80">
        <f>_xlfn.MINIFS('Resultados historicos'!O:O,'Resultados historicos'!$D:$D,'Estadistico resumen'!$C24)</f>
        <v>0.34</v>
      </c>
      <c r="I24" s="80">
        <f>SUMIF('Resultados historicos'!$D:$D,'Estadistico resumen'!$C24,'Resultados historicos'!O:O)/COUNTIF('Resultados historicos'!$D:$D,'Estadistico resumen'!$C24)</f>
        <v>0.58875</v>
      </c>
      <c r="J24" s="80" cm="1">
        <f t="array" ref="J24">_xlfn.STDEV.S(_xlfn._xlws.FILTER('Resultados historicos'!O:O,'Resultados historicos'!$D:$D='Estadistico resumen'!$C24))</f>
        <v>0.23070543990118655</v>
      </c>
      <c r="K24" s="80">
        <f>_xlfn.MAXIFS('Resultados historicos'!P:P,'Resultados historicos'!$D:$D,'Estadistico resumen'!$C24)</f>
        <v>0.5</v>
      </c>
      <c r="L24" s="80">
        <f>_xlfn.MINIFS('Resultados historicos'!P:P,'Resultados historicos'!$D:$D,'Estadistico resumen'!$C24)</f>
        <v>0.1</v>
      </c>
      <c r="M24" s="80">
        <f>SUMIF('Resultados historicos'!$D:$D,'Estadistico resumen'!$C24,'Resultados historicos'!P:P)/COUNTIF('Resultados historicos'!$D:$D,'Estadistico resumen'!$C24)</f>
        <v>0.24125000000000008</v>
      </c>
      <c r="N24" s="80" cm="1">
        <f t="array" ref="N24">_xlfn.STDEV.S(_xlfn._xlws.FILTER('Resultados historicos'!P:P,'Resultados historicos'!$D:$D='Estadistico resumen'!$C24))</f>
        <v>0.12382110751671795</v>
      </c>
      <c r="O24" s="80">
        <f>_xlfn.MAXIFS('Resultados historicos'!Q:Q,'Resultados historicos'!$D:$D,'Estadistico resumen'!$C24)</f>
        <v>0.4</v>
      </c>
      <c r="P24" s="80">
        <f>_xlfn.MINIFS('Resultados historicos'!Q:Q,'Resultados historicos'!$D:$D,'Estadistico resumen'!$C24)</f>
        <v>0.04</v>
      </c>
      <c r="Q24" s="80">
        <f>SUMIF('Resultados historicos'!$D:$D,'Estadistico resumen'!$C24,'Resultados historicos'!Q:Q)/COUNTIF('Resultados historicos'!$D:$D,'Estadistico resumen'!$C24)</f>
        <v>0.13375000000000001</v>
      </c>
      <c r="R24" s="80" cm="1">
        <f t="array" ref="R24">_xlfn.STDEV.S(_xlfn._xlws.FILTER('Resultados historicos'!Q:Q,'Resultados historicos'!$D:$D='Estadistico resumen'!$C24))</f>
        <v>0.10164480639298137</v>
      </c>
      <c r="S24" s="68"/>
      <c r="T24" s="145"/>
      <c r="U24" s="54" t="str">
        <f t="shared" si="0"/>
        <v>0,59 ± 0,17</v>
      </c>
      <c r="V24" s="64">
        <f t="shared" si="1"/>
        <v>0.7587056730111621</v>
      </c>
      <c r="W24" s="54" t="str">
        <f t="shared" si="2"/>
        <v>0,24 ± 0,09</v>
      </c>
      <c r="X24" s="64">
        <f t="shared" si="3"/>
        <v>0.33246631319142139</v>
      </c>
      <c r="Y24" s="54" t="str">
        <f t="shared" si="4"/>
        <v>0,13 ± 0,07</v>
      </c>
      <c r="Z24" s="64">
        <f t="shared" si="5"/>
        <v>0.20862951513413608</v>
      </c>
      <c r="AA24" s="68"/>
      <c r="AB24" s="69">
        <f>_xlfn.MINIFS('Resultados historicos'!Y:Y,'Resultados historicos'!$D:$D,'Estadistico resumen'!$C24)</f>
        <v>878.08</v>
      </c>
      <c r="AC24" s="69">
        <f>_xlfn.MAXIFS('Resultados historicos'!Y:Y,'Resultados historicos'!$D:$D,'Estadistico resumen'!$C24)</f>
        <v>5524.21</v>
      </c>
      <c r="AD24" s="69">
        <f>SUMIF('Resultados historicos'!D:D,'Estadistico resumen'!$C24,'Resultados historicos'!Y:Y)/COUNTIFS('Resultados historicos'!$D:$D,'Estadistico resumen'!$C24,'Resultados historicos'!Y:Y,"&gt;0")</f>
        <v>1904.2537500000001</v>
      </c>
    </row>
    <row r="25" spans="1:30" x14ac:dyDescent="0.3">
      <c r="A25" s="70">
        <v>2</v>
      </c>
      <c r="B25" s="33" t="s">
        <v>65</v>
      </c>
      <c r="C25" s="33" t="s">
        <v>192</v>
      </c>
      <c r="D25" s="44">
        <f>COUNTIF('Resultados historicos'!D:D,'Estadistico resumen'!C25)</f>
        <v>16</v>
      </c>
      <c r="E25" s="45">
        <f>_xlfn.MINIFS('Resultados historicos'!K:K,'Resultados historicos'!D:D,'Estadistico resumen'!C25)</f>
        <v>43794</v>
      </c>
      <c r="F25" s="45">
        <f>_xlfn.MAXIFS('Resultados historicos'!K:K,'Resultados historicos'!D:D,'Estadistico resumen'!C25)</f>
        <v>45622</v>
      </c>
      <c r="G25" s="43">
        <f>_xlfn.MAXIFS('Resultados historicos'!O:O,'Resultados historicos'!$D:$D,'Estadistico resumen'!$C25)</f>
        <v>2</v>
      </c>
      <c r="H25" s="43">
        <f>_xlfn.MINIFS('Resultados historicos'!O:O,'Resultados historicos'!$D:$D,'Estadistico resumen'!$C25)</f>
        <v>0.4</v>
      </c>
      <c r="I25" s="43">
        <f>SUMIF('Resultados historicos'!$D:$D,'Estadistico resumen'!$C25,'Resultados historicos'!O:O)/COUNTIF('Resultados historicos'!$D:$D,'Estadistico resumen'!$C25)</f>
        <v>0.85499999999999998</v>
      </c>
      <c r="J25" s="43" cm="1">
        <f t="array" ref="J25">_xlfn.STDEV.S(_xlfn._xlws.FILTER('Resultados historicos'!O:O,'Resultados historicos'!$D:$D='Estadistico resumen'!$C25))</f>
        <v>0.46271661593967717</v>
      </c>
      <c r="K25" s="43">
        <f>_xlfn.MAXIFS('Resultados historicos'!P:P,'Resultados historicos'!$D:$D,'Estadistico resumen'!$C25)</f>
        <v>1.3</v>
      </c>
      <c r="L25" s="43">
        <f>_xlfn.MINIFS('Resultados historicos'!P:P,'Resultados historicos'!$D:$D,'Estadistico resumen'!$C25)</f>
        <v>0.1</v>
      </c>
      <c r="M25" s="43">
        <f>SUMIF('Resultados historicos'!$D:$D,'Estadistico resumen'!$C25,'Resultados historicos'!P:P)/COUNTIF('Resultados historicos'!$D:$D,'Estadistico resumen'!$C25)</f>
        <v>0.38624999999999993</v>
      </c>
      <c r="N25" s="43" cm="1">
        <f t="array" ref="N25">_xlfn.STDEV.S(_xlfn._xlws.FILTER('Resultados historicos'!P:P,'Resultados historicos'!$D:$D='Estadistico resumen'!$C25))</f>
        <v>0.32014319712695244</v>
      </c>
      <c r="O25" s="43">
        <f>_xlfn.MAXIFS('Resultados historicos'!Q:Q,'Resultados historicos'!$D:$D,'Estadistico resumen'!$C25)</f>
        <v>1.22</v>
      </c>
      <c r="P25" s="43">
        <f>_xlfn.MINIFS('Resultados historicos'!Q:Q,'Resultados historicos'!$D:$D,'Estadistico resumen'!$C25)</f>
        <v>0.02</v>
      </c>
      <c r="Q25" s="43">
        <f>SUMIF('Resultados historicos'!$D:$D,'Estadistico resumen'!$C25,'Resultados historicos'!Q:Q)/COUNTIF('Resultados historicos'!$D:$D,'Estadistico resumen'!$C25)</f>
        <v>0.22750000000000004</v>
      </c>
      <c r="R25" s="43" cm="1">
        <f t="array" ref="R25">_xlfn.STDEV.S(_xlfn._xlws.FILTER('Resultados historicos'!Q:Q,'Resultados historicos'!$D:$D='Estadistico resumen'!$C25))</f>
        <v>0.2941088233970548</v>
      </c>
      <c r="S25" s="68"/>
      <c r="T25" s="145"/>
      <c r="U25" s="54" t="str">
        <f t="shared" si="0"/>
        <v>0,86 ± 0,34</v>
      </c>
      <c r="V25" s="64">
        <f t="shared" si="1"/>
        <v>1.1958732533968774</v>
      </c>
      <c r="W25" s="54" t="str">
        <f t="shared" si="2"/>
        <v>0,39 ± 0,24</v>
      </c>
      <c r="X25" s="64">
        <f t="shared" si="3"/>
        <v>0.6220925208827357</v>
      </c>
      <c r="Y25" s="54" t="str">
        <f t="shared" si="4"/>
        <v>0,23 ± 0,22</v>
      </c>
      <c r="Z25" s="64">
        <f t="shared" si="5"/>
        <v>0.44416356476196117</v>
      </c>
      <c r="AA25" s="68"/>
      <c r="AB25" s="69">
        <f>_xlfn.MINIFS('Resultados historicos'!Y:Y,'Resultados historicos'!$D:$D,'Estadistico resumen'!$C25)</f>
        <v>1297.3800000000001</v>
      </c>
      <c r="AC25" s="81">
        <f>_xlfn.MAXIFS('Resultados historicos'!Y:Y,'Resultados historicos'!$D:$D,'Estadistico resumen'!$C25)</f>
        <v>8908.2000000000007</v>
      </c>
      <c r="AD25" s="69">
        <f>SUMIF('Resultados historicos'!D:D,'Estadistico resumen'!$C25,'Resultados historicos'!Y:Y)/COUNTIFS('Resultados historicos'!$D:$D,'Estadistico resumen'!$C25,'Resultados historicos'!Y:Y,"&gt;0")</f>
        <v>3288.4037500000004</v>
      </c>
    </row>
    <row r="26" spans="1:30" x14ac:dyDescent="0.3">
      <c r="A26" s="70">
        <v>3</v>
      </c>
      <c r="B26" s="33" t="s">
        <v>65</v>
      </c>
      <c r="C26" s="33" t="s">
        <v>338</v>
      </c>
      <c r="D26" s="44">
        <f>COUNTIF('Resultados historicos'!D:D,'Estadistico resumen'!C26)</f>
        <v>16</v>
      </c>
      <c r="E26" s="45">
        <f>_xlfn.MINIFS('Resultados historicos'!K:K,'Resultados historicos'!D:D,'Estadistico resumen'!C26)</f>
        <v>43794</v>
      </c>
      <c r="F26" s="45">
        <f>_xlfn.MAXIFS('Resultados historicos'!K:K,'Resultados historicos'!D:D,'Estadistico resumen'!C26)</f>
        <v>45622</v>
      </c>
      <c r="G26" s="43">
        <f>_xlfn.MAXIFS('Resultados historicos'!O:O,'Resultados historicos'!$D:$D,'Estadistico resumen'!$C26)</f>
        <v>1.88</v>
      </c>
      <c r="H26" s="43">
        <f>_xlfn.MINIFS('Resultados historicos'!O:O,'Resultados historicos'!$D:$D,'Estadistico resumen'!$C26)</f>
        <v>0.26</v>
      </c>
      <c r="I26" s="43">
        <f>SUMIF('Resultados historicos'!$D:$D,'Estadistico resumen'!$C26,'Resultados historicos'!O:O)/COUNTIF('Resultados historicos'!$D:$D,'Estadistico resumen'!$C26)</f>
        <v>0.79125000000000001</v>
      </c>
      <c r="J26" s="43" cm="1">
        <f t="array" ref="J26">_xlfn.STDEV.S(_xlfn._xlws.FILTER('Resultados historicos'!O:O,'Resultados historicos'!$D:$D='Estadistico resumen'!$C26))</f>
        <v>0.45746948896438244</v>
      </c>
      <c r="K26" s="43">
        <f>_xlfn.MAXIFS('Resultados historicos'!P:P,'Resultados historicos'!$D:$D,'Estadistico resumen'!$C26)</f>
        <v>1.06</v>
      </c>
      <c r="L26" s="43">
        <f>_xlfn.MINIFS('Resultados historicos'!P:P,'Resultados historicos'!$D:$D,'Estadistico resumen'!$C26)</f>
        <v>0.12</v>
      </c>
      <c r="M26" s="43">
        <f>SUMIF('Resultados historicos'!$D:$D,'Estadistico resumen'!$C26,'Resultados historicos'!P:P)/COUNTIF('Resultados historicos'!$D:$D,'Estadistico resumen'!$C26)</f>
        <v>0.34500000000000008</v>
      </c>
      <c r="N26" s="43" cm="1">
        <f t="array" ref="N26">_xlfn.STDEV.S(_xlfn._xlws.FILTER('Resultados historicos'!P:P,'Resultados historicos'!$D:$D='Estadistico resumen'!$C26))</f>
        <v>0.25544732007467469</v>
      </c>
      <c r="O26" s="43">
        <f>_xlfn.MAXIFS('Resultados historicos'!Q:Q,'Resultados historicos'!$D:$D,'Estadistico resumen'!$C26)</f>
        <v>0.8</v>
      </c>
      <c r="P26" s="43">
        <f>_xlfn.MINIFS('Resultados historicos'!Q:Q,'Resultados historicos'!$D:$D,'Estadistico resumen'!$C26)</f>
        <v>0.04</v>
      </c>
      <c r="Q26" s="43">
        <f>SUMIF('Resultados historicos'!$D:$D,'Estadistico resumen'!$C26,'Resultados historicos'!Q:Q)/COUNTIF('Resultados historicos'!$D:$D,'Estadistico resumen'!$C26)</f>
        <v>0.2</v>
      </c>
      <c r="R26" s="43" cm="1">
        <f t="array" ref="R26">_xlfn.STDEV.S(_xlfn._xlws.FILTER('Resultados historicos'!Q:Q,'Resultados historicos'!$D:$D='Estadistico resumen'!$C26))</f>
        <v>0.18818430682002507</v>
      </c>
      <c r="S26" s="68"/>
      <c r="T26" s="145"/>
      <c r="U26" s="54" t="str">
        <f t="shared" si="0"/>
        <v>0,79 ± 0,34</v>
      </c>
      <c r="V26" s="64">
        <f t="shared" si="1"/>
        <v>1.1282578092320446</v>
      </c>
      <c r="W26" s="54" t="str">
        <f t="shared" si="2"/>
        <v>0,35 ± 0,19</v>
      </c>
      <c r="X26" s="64">
        <f t="shared" si="3"/>
        <v>0.53318247727831669</v>
      </c>
      <c r="Y26" s="54" t="str">
        <f t="shared" si="4"/>
        <v>0,20 ± 0,14</v>
      </c>
      <c r="Z26" s="64">
        <f t="shared" si="5"/>
        <v>0.33863128034360623</v>
      </c>
      <c r="AA26" s="68"/>
      <c r="AB26" s="69">
        <f>_xlfn.MINIFS('Resultados historicos'!Y:Y,'Resultados historicos'!$D:$D,'Estadistico resumen'!$C26)</f>
        <v>2363</v>
      </c>
      <c r="AC26" s="69">
        <f>_xlfn.MAXIFS('Resultados historicos'!Y:Y,'Resultados historicos'!$D:$D,'Estadistico resumen'!$C26)</f>
        <v>5830.53</v>
      </c>
      <c r="AD26" s="69">
        <f>SUMIF('Resultados historicos'!D:D,'Estadistico resumen'!$C26,'Resultados historicos'!Y:Y)/COUNTIFS('Resultados historicos'!$D:$D,'Estadistico resumen'!$C26,'Resultados historicos'!Y:Y,"&gt;0")</f>
        <v>3748.0862499999998</v>
      </c>
    </row>
    <row r="27" spans="1:30" x14ac:dyDescent="0.3">
      <c r="A27" s="71">
        <v>4</v>
      </c>
      <c r="B27" s="72" t="s">
        <v>65</v>
      </c>
      <c r="C27" s="72" t="s">
        <v>454</v>
      </c>
      <c r="D27" s="73">
        <f>COUNTIF('Resultados historicos'!D:D,'Estadistico resumen'!C27)</f>
        <v>16</v>
      </c>
      <c r="E27" s="74">
        <f>_xlfn.MINIFS('Resultados historicos'!K:K,'Resultados historicos'!D:D,'Estadistico resumen'!C27)</f>
        <v>43794</v>
      </c>
      <c r="F27" s="74">
        <f>_xlfn.MAXIFS('Resultados historicos'!K:K,'Resultados historicos'!D:D,'Estadistico resumen'!C27)</f>
        <v>45622</v>
      </c>
      <c r="G27" s="75">
        <f>_xlfn.MAXIFS('Resultados historicos'!O:O,'Resultados historicos'!$D:$D,'Estadistico resumen'!$C27)</f>
        <v>3.32</v>
      </c>
      <c r="H27" s="75">
        <f>_xlfn.MINIFS('Resultados historicos'!O:O,'Resultados historicos'!$D:$D,'Estadistico resumen'!$C27)</f>
        <v>0.24</v>
      </c>
      <c r="I27" s="75">
        <f>SUMIF('Resultados historicos'!$D:$D,'Estadistico resumen'!$C27,'Resultados historicos'!O:O)/COUNTIF('Resultados historicos'!$D:$D,'Estadistico resumen'!$C27)</f>
        <v>1.13625</v>
      </c>
      <c r="J27" s="75" cm="1">
        <f t="array" ref="J27">_xlfn.STDEV.S(_xlfn._xlws.FILTER('Resultados historicos'!O:O,'Resultados historicos'!$D:$D='Estadistico resumen'!$C27))</f>
        <v>0.8084955163759413</v>
      </c>
      <c r="K27" s="75">
        <f>_xlfn.MAXIFS('Resultados historicos'!P:P,'Resultados historicos'!$D:$D,'Estadistico resumen'!$C27)</f>
        <v>1.82</v>
      </c>
      <c r="L27" s="75">
        <f>_xlfn.MINIFS('Resultados historicos'!P:P,'Resultados historicos'!$D:$D,'Estadistico resumen'!$C27)</f>
        <v>0.14000000000000001</v>
      </c>
      <c r="M27" s="75">
        <f>SUMIF('Resultados historicos'!$D:$D,'Estadistico resumen'!$C27,'Resultados historicos'!P:P)/COUNTIF('Resultados historicos'!$D:$D,'Estadistico resumen'!$C27)</f>
        <v>0.57937499999999997</v>
      </c>
      <c r="N27" s="75" cm="1">
        <f t="array" ref="N27">_xlfn.STDEV.S(_xlfn._xlws.FILTER('Resultados historicos'!P:P,'Resultados historicos'!$D:$D='Estadistico resumen'!$C27))</f>
        <v>0.5179764312527485</v>
      </c>
      <c r="O27" s="75">
        <f>_xlfn.MAXIFS('Resultados historicos'!Q:Q,'Resultados historicos'!$D:$D,'Estadistico resumen'!$C27)</f>
        <v>1.34</v>
      </c>
      <c r="P27" s="75">
        <f>_xlfn.MINIFS('Resultados historicos'!Q:Q,'Resultados historicos'!$D:$D,'Estadistico resumen'!$C27)</f>
        <v>0.04</v>
      </c>
      <c r="Q27" s="75">
        <f>SUMIF('Resultados historicos'!$D:$D,'Estadistico resumen'!$C27,'Resultados historicos'!Q:Q)/COUNTIF('Resultados historicos'!$D:$D,'Estadistico resumen'!$C27)</f>
        <v>0.388125</v>
      </c>
      <c r="R27" s="75" cm="1">
        <f t="array" ref="R27">_xlfn.STDEV.S(_xlfn._xlws.FILTER('Resultados historicos'!Q:Q,'Resultados historicos'!$D:$D='Estadistico resumen'!$C27))</f>
        <v>0.41116450479096561</v>
      </c>
      <c r="S27" s="68"/>
      <c r="T27" s="145"/>
      <c r="U27" s="82" t="str">
        <f t="shared" si="0"/>
        <v>1,14 ± 0,60</v>
      </c>
      <c r="V27" s="83">
        <f t="shared" si="1"/>
        <v>1.7318510385842376</v>
      </c>
      <c r="W27" s="82" t="str">
        <f t="shared" si="2"/>
        <v>0,58 ± 0,38</v>
      </c>
      <c r="X27" s="83">
        <f t="shared" si="3"/>
        <v>0.96095695582724971</v>
      </c>
      <c r="Y27" s="82" t="str">
        <f t="shared" si="4"/>
        <v>0,39 ± 0,30</v>
      </c>
      <c r="Z27" s="83">
        <f t="shared" si="5"/>
        <v>0.69102093587381352</v>
      </c>
      <c r="AA27" s="84"/>
      <c r="AB27" s="85">
        <f>_xlfn.MINIFS('Resultados historicos'!Y:Y,'Resultados historicos'!$D:$D,'Estadistico resumen'!$C27)</f>
        <v>2401.27</v>
      </c>
      <c r="AC27" s="85">
        <f>_xlfn.MAXIFS('Resultados historicos'!Y:Y,'Resultados historicos'!$D:$D,'Estadistico resumen'!$C27)</f>
        <v>6523.06</v>
      </c>
      <c r="AD27" s="85">
        <f>SUMIF('Resultados historicos'!D:D,'Estadistico resumen'!$C27,'Resultados historicos'!Y:Y)/COUNTIFS('Resultados historicos'!$D:$D,'Estadistico resumen'!$C27,'Resultados historicos'!Y:Y,"&gt;0")</f>
        <v>4142.72</v>
      </c>
    </row>
    <row r="28" spans="1:30" x14ac:dyDescent="0.3">
      <c r="A28" s="76">
        <v>1</v>
      </c>
      <c r="B28" s="77" t="s">
        <v>121</v>
      </c>
      <c r="C28" s="77" t="s">
        <v>117</v>
      </c>
      <c r="D28" s="78">
        <f>COUNTIF('Resultados historicos'!D:D,'Estadistico resumen'!C28)</f>
        <v>16</v>
      </c>
      <c r="E28" s="79">
        <f>_xlfn.MINIFS('Resultados historicos'!K:K,'Resultados historicos'!D:D,'Estadistico resumen'!C28)</f>
        <v>43795</v>
      </c>
      <c r="F28" s="79">
        <f>_xlfn.MAXIFS('Resultados historicos'!K:K,'Resultados historicos'!D:D,'Estadistico resumen'!C28)</f>
        <v>45629</v>
      </c>
      <c r="G28" s="80">
        <f>_xlfn.MAXIFS('Resultados historicos'!O:O,'Resultados historicos'!$D:$D,'Estadistico resumen'!$C28)</f>
        <v>0.98</v>
      </c>
      <c r="H28" s="80">
        <f>_xlfn.MINIFS('Resultados historicos'!O:O,'Resultados historicos'!$D:$D,'Estadistico resumen'!$C28)</f>
        <v>0.3</v>
      </c>
      <c r="I28" s="80">
        <f>SUMIF('Resultados historicos'!$D:$D,'Estadistico resumen'!$C28,'Resultados historicos'!O:O)/COUNTIF('Resultados historicos'!$D:$D,'Estadistico resumen'!$C28)</f>
        <v>0.495</v>
      </c>
      <c r="J28" s="80" cm="1">
        <f t="array" ref="J28">_xlfn.STDEV.S(_xlfn._xlws.FILTER('Resultados historicos'!O:O,'Resultados historicos'!$D:$D='Estadistico resumen'!$C28))</f>
        <v>0.180739222823013</v>
      </c>
      <c r="K28" s="80">
        <f>_xlfn.MAXIFS('Resultados historicos'!P:P,'Resultados historicos'!$D:$D,'Estadistico resumen'!$C28)</f>
        <v>0.46</v>
      </c>
      <c r="L28" s="80">
        <f>_xlfn.MINIFS('Resultados historicos'!P:P,'Resultados historicos'!$D:$D,'Estadistico resumen'!$C28)</f>
        <v>0.1</v>
      </c>
      <c r="M28" s="80">
        <f>SUMIF('Resultados historicos'!$D:$D,'Estadistico resumen'!$C28,'Resultados historicos'!P:P)/COUNTIF('Resultados historicos'!$D:$D,'Estadistico resumen'!$C28)</f>
        <v>0.21750000000000008</v>
      </c>
      <c r="N28" s="80" cm="1">
        <f t="array" ref="N28">_xlfn.STDEV.S(_xlfn._xlws.FILTER('Resultados historicos'!P:P,'Resultados historicos'!$D:$D='Estadistico resumen'!$C28))</f>
        <v>0.10529324131522699</v>
      </c>
      <c r="O28" s="80">
        <f>_xlfn.MAXIFS('Resultados historicos'!Q:Q,'Resultados historicos'!$D:$D,'Estadistico resumen'!$C28)</f>
        <v>0.32</v>
      </c>
      <c r="P28" s="80">
        <f>_xlfn.MINIFS('Resultados historicos'!Q:Q,'Resultados historicos'!$D:$D,'Estadistico resumen'!$C28)</f>
        <v>0.06</v>
      </c>
      <c r="Q28" s="80">
        <f>SUMIF('Resultados historicos'!$D:$D,'Estadistico resumen'!$C28,'Resultados historicos'!Q:Q)/COUNTIF('Resultados historicos'!$D:$D,'Estadistico resumen'!$C28)</f>
        <v>0.12250000000000003</v>
      </c>
      <c r="R28" s="80" cm="1">
        <f t="array" ref="R28">_xlfn.STDEV.S(_xlfn._xlws.FILTER('Resultados historicos'!Q:Q,'Resultados historicos'!$D:$D='Estadistico resumen'!$C28))</f>
        <v>6.6483080554378626E-2</v>
      </c>
      <c r="S28" s="68"/>
      <c r="T28" s="145"/>
      <c r="U28" s="54" t="str">
        <f t="shared" si="0"/>
        <v>0,50 ± 0,13</v>
      </c>
      <c r="V28" s="64">
        <f t="shared" si="1"/>
        <v>0.62814664911046847</v>
      </c>
      <c r="W28" s="54" t="str">
        <f t="shared" si="2"/>
        <v>0,22 ± 0,08</v>
      </c>
      <c r="X28" s="64">
        <f t="shared" si="3"/>
        <v>0.29506723768161169</v>
      </c>
      <c r="Y28" s="54" t="str">
        <f t="shared" si="4"/>
        <v>0,12 ± 0,05</v>
      </c>
      <c r="Z28" s="64">
        <f t="shared" si="5"/>
        <v>0.1714766375006774</v>
      </c>
      <c r="AA28" s="68"/>
      <c r="AB28" s="81">
        <f>_xlfn.MINIFS('Resultados historicos'!Y:Y,'Resultados historicos'!$D:$D,'Estadistico resumen'!$C28)</f>
        <v>145.59</v>
      </c>
      <c r="AC28" s="69">
        <f>_xlfn.MAXIFS('Resultados historicos'!Y:Y,'Resultados historicos'!$D:$D,'Estadistico resumen'!$C28)</f>
        <v>1850.58</v>
      </c>
      <c r="AD28" s="69">
        <f>SUMIF('Resultados historicos'!D:D,'Estadistico resumen'!$C28,'Resultados historicos'!Y:Y)/COUNTIFS('Resultados historicos'!$D:$D,'Estadistico resumen'!$C28,'Resultados historicos'!Y:Y,"&gt;0")</f>
        <v>555.88133333333315</v>
      </c>
    </row>
    <row r="29" spans="1:30" x14ac:dyDescent="0.3">
      <c r="A29" s="70">
        <v>2</v>
      </c>
      <c r="B29" s="33" t="s">
        <v>121</v>
      </c>
      <c r="C29" s="33" t="s">
        <v>216</v>
      </c>
      <c r="D29" s="44">
        <f>COUNTIF('Resultados historicos'!D:D,'Estadistico resumen'!C29)</f>
        <v>16</v>
      </c>
      <c r="E29" s="45">
        <f>_xlfn.MINIFS('Resultados historicos'!K:K,'Resultados historicos'!D:D,'Estadistico resumen'!C29)</f>
        <v>43795</v>
      </c>
      <c r="F29" s="45">
        <f>_xlfn.MAXIFS('Resultados historicos'!K:K,'Resultados historicos'!D:D,'Estadistico resumen'!C29)</f>
        <v>45629</v>
      </c>
      <c r="G29" s="43">
        <f>_xlfn.MAXIFS('Resultados historicos'!O:O,'Resultados historicos'!$D:$D,'Estadistico resumen'!$C29)</f>
        <v>3.88</v>
      </c>
      <c r="H29" s="43">
        <f>_xlfn.MINIFS('Resultados historicos'!O:O,'Resultados historicos'!$D:$D,'Estadistico resumen'!$C29)</f>
        <v>0.4</v>
      </c>
      <c r="I29" s="43">
        <f>SUMIF('Resultados historicos'!$D:$D,'Estadistico resumen'!$C29,'Resultados historicos'!O:O)/COUNTIF('Resultados historicos'!$D:$D,'Estadistico resumen'!$C29)</f>
        <v>1.2762500000000003</v>
      </c>
      <c r="J29" s="43" cm="1">
        <f t="array" ref="J29">_xlfn.STDEV.S(_xlfn._xlws.FILTER('Resultados historicos'!O:O,'Resultados historicos'!$D:$D='Estadistico resumen'!$C29))</f>
        <v>1.0377724541857265</v>
      </c>
      <c r="K29" s="43">
        <f>_xlfn.MAXIFS('Resultados historicos'!P:P,'Resultados historicos'!$D:$D,'Estadistico resumen'!$C29)</f>
        <v>2.46</v>
      </c>
      <c r="L29" s="43">
        <f>_xlfn.MINIFS('Resultados historicos'!P:P,'Resultados historicos'!$D:$D,'Estadistico resumen'!$C29)</f>
        <v>0.1</v>
      </c>
      <c r="M29" s="43">
        <f>SUMIF('Resultados historicos'!$D:$D,'Estadistico resumen'!$C29,'Resultados historicos'!P:P)/COUNTIF('Resultados historicos'!$D:$D,'Estadistico resumen'!$C29)</f>
        <v>0.69374999999999998</v>
      </c>
      <c r="N29" s="43" cm="1">
        <f t="array" ref="N29">_xlfn.STDEV.S(_xlfn._xlws.FILTER('Resultados historicos'!P:P,'Resultados historicos'!$D:$D='Estadistico resumen'!$C29))</f>
        <v>0.70501891227588132</v>
      </c>
      <c r="O29" s="43">
        <f>_xlfn.MAXIFS('Resultados historicos'!Q:Q,'Resultados historicos'!$D:$D,'Estadistico resumen'!$C29)</f>
        <v>1.7</v>
      </c>
      <c r="P29" s="43">
        <f>_xlfn.MINIFS('Resultados historicos'!Q:Q,'Resultados historicos'!$D:$D,'Estadistico resumen'!$C29)</f>
        <v>0.08</v>
      </c>
      <c r="Q29" s="43">
        <f>SUMIF('Resultados historicos'!$D:$D,'Estadistico resumen'!$C29,'Resultados historicos'!Q:Q)/COUNTIF('Resultados historicos'!$D:$D,'Estadistico resumen'!$C29)</f>
        <v>0.45999999999999996</v>
      </c>
      <c r="R29" s="43" cm="1">
        <f t="array" ref="R29">_xlfn.STDEV.S(_xlfn._xlws.FILTER('Resultados historicos'!Q:Q,'Resultados historicos'!$D:$D='Estadistico resumen'!$C29))</f>
        <v>0.50007999360102373</v>
      </c>
      <c r="S29" s="68"/>
      <c r="T29" s="145"/>
      <c r="U29" s="54" t="str">
        <f t="shared" si="0"/>
        <v>1,28 ± 0,76</v>
      </c>
      <c r="V29" s="64">
        <f t="shared" si="1"/>
        <v>2.0407543652161992</v>
      </c>
      <c r="W29" s="54" t="str">
        <f t="shared" si="2"/>
        <v>0,69 ± 0,52</v>
      </c>
      <c r="X29" s="64">
        <f t="shared" si="3"/>
        <v>1.2131220779742593</v>
      </c>
      <c r="Y29" s="54" t="str">
        <f t="shared" si="4"/>
        <v>0,46 ± 0,37</v>
      </c>
      <c r="Z29" s="64">
        <f t="shared" si="5"/>
        <v>0.82839803997808759</v>
      </c>
      <c r="AA29" s="68"/>
      <c r="AB29" s="69">
        <f>_xlfn.MINIFS('Resultados historicos'!Y:Y,'Resultados historicos'!$D:$D,'Estadistico resumen'!$C29)</f>
        <v>517.4</v>
      </c>
      <c r="AC29" s="69">
        <f>_xlfn.MAXIFS('Resultados historicos'!Y:Y,'Resultados historicos'!$D:$D,'Estadistico resumen'!$C29)</f>
        <v>2007</v>
      </c>
      <c r="AD29" s="69">
        <f>SUMIF('Resultados historicos'!D:D,'Estadistico resumen'!$C29,'Resultados historicos'!Y:Y)/COUNTIFS('Resultados historicos'!$D:$D,'Estadistico resumen'!$C29,'Resultados historicos'!Y:Y,"&gt;0")</f>
        <v>1179.1383333333333</v>
      </c>
    </row>
    <row r="30" spans="1:30" x14ac:dyDescent="0.3">
      <c r="A30" s="70">
        <v>3</v>
      </c>
      <c r="B30" s="33" t="s">
        <v>121</v>
      </c>
      <c r="C30" s="33" t="s">
        <v>330</v>
      </c>
      <c r="D30" s="44">
        <f>COUNTIF('Resultados historicos'!D:D,'Estadistico resumen'!C30)</f>
        <v>16</v>
      </c>
      <c r="E30" s="45">
        <f>_xlfn.MINIFS('Resultados historicos'!K:K,'Resultados historicos'!D:D,'Estadistico resumen'!C30)</f>
        <v>43794</v>
      </c>
      <c r="F30" s="45">
        <f>_xlfn.MAXIFS('Resultados historicos'!K:K,'Resultados historicos'!D:D,'Estadistico resumen'!C30)</f>
        <v>45629</v>
      </c>
      <c r="G30" s="43">
        <f>_xlfn.MAXIFS('Resultados historicos'!O:O,'Resultados historicos'!$D:$D,'Estadistico resumen'!$C30)</f>
        <v>2.3199999999999998</v>
      </c>
      <c r="H30" s="43">
        <f>_xlfn.MINIFS('Resultados historicos'!O:O,'Resultados historicos'!$D:$D,'Estadistico resumen'!$C30)</f>
        <v>0.42</v>
      </c>
      <c r="I30" s="43">
        <f>SUMIF('Resultados historicos'!$D:$D,'Estadistico resumen'!$C30,'Resultados historicos'!O:O)/COUNTIF('Resultados historicos'!$D:$D,'Estadistico resumen'!$C30)</f>
        <v>0.85249999999999992</v>
      </c>
      <c r="J30" s="43" cm="1">
        <f t="array" ref="J30">_xlfn.STDEV.S(_xlfn._xlws.FILTER('Resultados historicos'!O:O,'Resultados historicos'!$D:$D='Estadistico resumen'!$C30))</f>
        <v>0.45781364476534947</v>
      </c>
      <c r="K30" s="43">
        <f>_xlfn.MAXIFS('Resultados historicos'!P:P,'Resultados historicos'!$D:$D,'Estadistico resumen'!$C30)</f>
        <v>1.84</v>
      </c>
      <c r="L30" s="43">
        <f>_xlfn.MINIFS('Resultados historicos'!P:P,'Resultados historicos'!$D:$D,'Estadistico resumen'!$C30)</f>
        <v>0.1</v>
      </c>
      <c r="M30" s="43">
        <f>SUMIF('Resultados historicos'!$D:$D,'Estadistico resumen'!$C30,'Resultados historicos'!P:P)/COUNTIF('Resultados historicos'!$D:$D,'Estadistico resumen'!$C30)</f>
        <v>0.39875000000000005</v>
      </c>
      <c r="N30" s="43" cm="1">
        <f t="array" ref="N30">_xlfn.STDEV.S(_xlfn._xlws.FILTER('Resultados historicos'!P:P,'Resultados historicos'!$D:$D='Estadistico resumen'!$C30))</f>
        <v>0.40906193500088306</v>
      </c>
      <c r="O30" s="43">
        <f>_xlfn.MAXIFS('Resultados historicos'!Q:Q,'Resultados historicos'!$D:$D,'Estadistico resumen'!$C30)</f>
        <v>1.7</v>
      </c>
      <c r="P30" s="43">
        <f>_xlfn.MINIFS('Resultados historicos'!Q:Q,'Resultados historicos'!$D:$D,'Estadistico resumen'!$C30)</f>
        <v>0.06</v>
      </c>
      <c r="Q30" s="43">
        <f>SUMIF('Resultados historicos'!$D:$D,'Estadistico resumen'!$C30,'Resultados historicos'!Q:Q)/COUNTIF('Resultados historicos'!$D:$D,'Estadistico resumen'!$C30)</f>
        <v>0.26500000000000001</v>
      </c>
      <c r="R30" s="43" cm="1">
        <f t="array" ref="R30">_xlfn.STDEV.S(_xlfn._xlws.FILTER('Resultados historicos'!Q:Q,'Resultados historicos'!$D:$D='Estadistico resumen'!$C30))</f>
        <v>0.39533951653399546</v>
      </c>
      <c r="S30" s="68"/>
      <c r="T30" s="145"/>
      <c r="U30" s="54" t="str">
        <f t="shared" si="0"/>
        <v>0,85 ± 0,34</v>
      </c>
      <c r="V30" s="64">
        <f t="shared" si="1"/>
        <v>1.1897613413152026</v>
      </c>
      <c r="W30" s="54" t="str">
        <f t="shared" si="2"/>
        <v>0,40 ± 0,30</v>
      </c>
      <c r="X30" s="64">
        <f t="shared" si="3"/>
        <v>0.70009701850160311</v>
      </c>
      <c r="Y30" s="54" t="str">
        <f t="shared" si="4"/>
        <v>0,27 ± 0,29</v>
      </c>
      <c r="Z30" s="64">
        <f t="shared" si="5"/>
        <v>0.55623801167939901</v>
      </c>
      <c r="AA30" s="68"/>
      <c r="AB30" s="69">
        <f>_xlfn.MINIFS('Resultados historicos'!Y:Y,'Resultados historicos'!$D:$D,'Estadistico resumen'!$C30)</f>
        <v>654.48</v>
      </c>
      <c r="AC30" s="69">
        <f>_xlfn.MAXIFS('Resultados historicos'!Y:Y,'Resultados historicos'!$D:$D,'Estadistico resumen'!$C30)</f>
        <v>3466</v>
      </c>
      <c r="AD30" s="69">
        <f>SUMIF('Resultados historicos'!D:D,'Estadistico resumen'!$C30,'Resultados historicos'!Y:Y)/COUNTIFS('Resultados historicos'!$D:$D,'Estadistico resumen'!$C30,'Resultados historicos'!Y:Y,"&gt;0")</f>
        <v>1716.6000000000001</v>
      </c>
    </row>
    <row r="31" spans="1:30" x14ac:dyDescent="0.3">
      <c r="A31" s="71">
        <v>4</v>
      </c>
      <c r="B31" s="72" t="s">
        <v>121</v>
      </c>
      <c r="C31" s="72" t="s">
        <v>462</v>
      </c>
      <c r="D31" s="73">
        <f>COUNTIF('Resultados historicos'!D:D,'Estadistico resumen'!C31)</f>
        <v>16</v>
      </c>
      <c r="E31" s="74">
        <f>_xlfn.MINIFS('Resultados historicos'!K:K,'Resultados historicos'!D:D,'Estadistico resumen'!C31)</f>
        <v>43794</v>
      </c>
      <c r="F31" s="74">
        <f>_xlfn.MAXIFS('Resultados historicos'!K:K,'Resultados historicos'!D:D,'Estadistico resumen'!C31)</f>
        <v>45629</v>
      </c>
      <c r="G31" s="75">
        <f>_xlfn.MAXIFS('Resultados historicos'!O:O,'Resultados historicos'!$D:$D,'Estadistico resumen'!$C31)</f>
        <v>4.3</v>
      </c>
      <c r="H31" s="75">
        <f>_xlfn.MINIFS('Resultados historicos'!O:O,'Resultados historicos'!$D:$D,'Estadistico resumen'!$C31)</f>
        <v>0.62</v>
      </c>
      <c r="I31" s="75">
        <f>SUMIF('Resultados historicos'!$D:$D,'Estadistico resumen'!$C31,'Resultados historicos'!O:O)/COUNTIF('Resultados historicos'!$D:$D,'Estadistico resumen'!$C31)</f>
        <v>1.865</v>
      </c>
      <c r="J31" s="75" cm="1">
        <f t="array" ref="J31">_xlfn.STDEV.S(_xlfn._xlws.FILTER('Resultados historicos'!O:O,'Resultados historicos'!$D:$D='Estadistico resumen'!$C31))</f>
        <v>1.019143431187844</v>
      </c>
      <c r="K31" s="75">
        <f>_xlfn.MAXIFS('Resultados historicos'!P:P,'Resultados historicos'!$D:$D,'Estadistico resumen'!$C31)</f>
        <v>3.37</v>
      </c>
      <c r="L31" s="75">
        <f>_xlfn.MINIFS('Resultados historicos'!P:P,'Resultados historicos'!$D:$D,'Estadistico resumen'!$C31)</f>
        <v>0.24</v>
      </c>
      <c r="M31" s="75">
        <f>SUMIF('Resultados historicos'!$D:$D,'Estadistico resumen'!$C31,'Resultados historicos'!P:P)/COUNTIF('Resultados historicos'!$D:$D,'Estadistico resumen'!$C31)</f>
        <v>1.3199999999999996</v>
      </c>
      <c r="N31" s="75" cm="1">
        <f t="array" ref="N31">_xlfn.STDEV.S(_xlfn._xlws.FILTER('Resultados historicos'!P:P,'Resultados historicos'!$D:$D='Estadistico resumen'!$C31))</f>
        <v>0.91850603336795444</v>
      </c>
      <c r="O31" s="75">
        <f>_xlfn.MAXIFS('Resultados historicos'!Q:Q,'Resultados historicos'!$D:$D,'Estadistico resumen'!$C31)</f>
        <v>1.76</v>
      </c>
      <c r="P31" s="75">
        <f>_xlfn.MINIFS('Resultados historicos'!Q:Q,'Resultados historicos'!$D:$D,'Estadistico resumen'!$C31)</f>
        <v>0.12</v>
      </c>
      <c r="Q31" s="75">
        <f>SUMIF('Resultados historicos'!$D:$D,'Estadistico resumen'!$C31,'Resultados historicos'!Q:Q)/COUNTIF('Resultados historicos'!$D:$D,'Estadistico resumen'!$C31)</f>
        <v>0.70124999999999993</v>
      </c>
      <c r="R31" s="75" cm="1">
        <f t="array" ref="R31">_xlfn.STDEV.S(_xlfn._xlws.FILTER('Resultados historicos'!Q:Q,'Resultados historicos'!$D:$D='Estadistico resumen'!$C31))</f>
        <v>0.49556533373511924</v>
      </c>
      <c r="S31" s="68"/>
      <c r="T31" s="145"/>
      <c r="U31" s="82" t="str">
        <f t="shared" si="0"/>
        <v>1,87 ± 0,75</v>
      </c>
      <c r="V31" s="83">
        <f t="shared" si="1"/>
        <v>2.6157807696975945</v>
      </c>
      <c r="W31" s="82" t="str">
        <f t="shared" si="2"/>
        <v>1,32 ± 0,68</v>
      </c>
      <c r="X31" s="83">
        <f t="shared" si="3"/>
        <v>1.9966433905187713</v>
      </c>
      <c r="Y31" s="82" t="str">
        <f t="shared" si="4"/>
        <v>0,70 ± 0,37</v>
      </c>
      <c r="Z31" s="83">
        <f t="shared" si="5"/>
        <v>1.0663221883802452</v>
      </c>
      <c r="AA31" s="84"/>
      <c r="AB31" s="85">
        <f>_xlfn.MINIFS('Resultados historicos'!Y:Y,'Resultados historicos'!$D:$D,'Estadistico resumen'!$C31)</f>
        <v>705.59</v>
      </c>
      <c r="AC31" s="86">
        <f>_xlfn.MAXIFS('Resultados historicos'!Y:Y,'Resultados historicos'!$D:$D,'Estadistico resumen'!$C31)</f>
        <v>4417.1400000000003</v>
      </c>
      <c r="AD31" s="85">
        <f>SUMIF('Resultados historicos'!D:D,'Estadistico resumen'!$C31,'Resultados historicos'!Y:Y)/COUNTIFS('Resultados historicos'!$D:$D,'Estadistico resumen'!$C31,'Resultados historicos'!Y:Y,"&gt;0")</f>
        <v>2079.5371428571425</v>
      </c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8" spans="3:3" x14ac:dyDescent="0.3">
      <c r="C68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4" spans="3:3" x14ac:dyDescent="0.3">
      <c r="C74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0" spans="3:3" x14ac:dyDescent="0.3">
      <c r="C80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6" spans="3:3" x14ac:dyDescent="0.3">
      <c r="C86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2" spans="3:3" x14ac:dyDescent="0.3">
      <c r="C92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8" spans="3:3" x14ac:dyDescent="0.3">
      <c r="C98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4" spans="3:3" x14ac:dyDescent="0.3">
      <c r="C104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0" spans="3:3" x14ac:dyDescent="0.3">
      <c r="C110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6" spans="3:3" x14ac:dyDescent="0.3">
      <c r="C116"/>
    </row>
    <row r="117" spans="3:3" x14ac:dyDescent="0.3">
      <c r="C117"/>
    </row>
    <row r="118" spans="3:3" x14ac:dyDescent="0.3">
      <c r="C118"/>
    </row>
    <row r="119" spans="3:3" x14ac:dyDescent="0.3">
      <c r="C119"/>
    </row>
    <row r="120" spans="3:3" x14ac:dyDescent="0.3">
      <c r="C120"/>
    </row>
    <row r="121" spans="3:3" x14ac:dyDescent="0.3">
      <c r="C121"/>
    </row>
    <row r="122" spans="3:3" x14ac:dyDescent="0.3">
      <c r="C122"/>
    </row>
    <row r="123" spans="3:3" x14ac:dyDescent="0.3">
      <c r="C123"/>
    </row>
    <row r="124" spans="3:3" x14ac:dyDescent="0.3">
      <c r="C124"/>
    </row>
    <row r="125" spans="3:3" x14ac:dyDescent="0.3">
      <c r="C125"/>
    </row>
    <row r="126" spans="3:3" x14ac:dyDescent="0.3">
      <c r="C126"/>
    </row>
    <row r="127" spans="3:3" x14ac:dyDescent="0.3">
      <c r="C127"/>
    </row>
    <row r="128" spans="3:3" x14ac:dyDescent="0.3">
      <c r="C128"/>
    </row>
    <row r="129" spans="3:3" x14ac:dyDescent="0.3">
      <c r="C129"/>
    </row>
    <row r="130" spans="3:3" x14ac:dyDescent="0.3">
      <c r="C130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6" spans="3:3" x14ac:dyDescent="0.3">
      <c r="C136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2" spans="3:3" x14ac:dyDescent="0.3">
      <c r="C142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2" spans="3:3" x14ac:dyDescent="0.3">
      <c r="C202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8" spans="3:3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4" spans="3:3" x14ac:dyDescent="0.3">
      <c r="C214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0" spans="3:3" x14ac:dyDescent="0.3">
      <c r="C220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2" spans="3:3" x14ac:dyDescent="0.3">
      <c r="C262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8" spans="3:3" x14ac:dyDescent="0.3">
      <c r="C268"/>
    </row>
    <row r="269" spans="3:3" x14ac:dyDescent="0.3">
      <c r="C269"/>
    </row>
    <row r="270" spans="3:3" x14ac:dyDescent="0.3">
      <c r="C270"/>
    </row>
    <row r="271" spans="3:3" x14ac:dyDescent="0.3">
      <c r="C271"/>
    </row>
    <row r="272" spans="3:3" x14ac:dyDescent="0.3">
      <c r="C272"/>
    </row>
    <row r="273" spans="3:3" x14ac:dyDescent="0.3">
      <c r="C273"/>
    </row>
    <row r="274" spans="3:3" x14ac:dyDescent="0.3">
      <c r="C274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0" spans="3:3" x14ac:dyDescent="0.3">
      <c r="C280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6" spans="3:3" x14ac:dyDescent="0.3">
      <c r="C286"/>
    </row>
    <row r="287" spans="3:3" x14ac:dyDescent="0.3">
      <c r="C287"/>
    </row>
    <row r="288" spans="3:3" x14ac:dyDescent="0.3">
      <c r="C288"/>
    </row>
    <row r="289" spans="3:3" x14ac:dyDescent="0.3">
      <c r="C289"/>
    </row>
    <row r="290" spans="3:3" x14ac:dyDescent="0.3">
      <c r="C290"/>
    </row>
    <row r="291" spans="3:3" x14ac:dyDescent="0.3">
      <c r="C291"/>
    </row>
    <row r="292" spans="3:3" x14ac:dyDescent="0.3">
      <c r="C292"/>
    </row>
    <row r="293" spans="3:3" x14ac:dyDescent="0.3">
      <c r="C293"/>
    </row>
    <row r="294" spans="3:3" x14ac:dyDescent="0.3">
      <c r="C294"/>
    </row>
    <row r="295" spans="3:3" x14ac:dyDescent="0.3">
      <c r="C295"/>
    </row>
    <row r="296" spans="3:3" x14ac:dyDescent="0.3">
      <c r="C296"/>
    </row>
    <row r="297" spans="3:3" x14ac:dyDescent="0.3">
      <c r="C297"/>
    </row>
    <row r="298" spans="3:3" x14ac:dyDescent="0.3">
      <c r="C298"/>
    </row>
    <row r="299" spans="3:3" x14ac:dyDescent="0.3">
      <c r="C299"/>
    </row>
    <row r="300" spans="3:3" x14ac:dyDescent="0.3">
      <c r="C300"/>
    </row>
    <row r="301" spans="3:3" x14ac:dyDescent="0.3">
      <c r="C301"/>
    </row>
    <row r="302" spans="3:3" x14ac:dyDescent="0.3">
      <c r="C302"/>
    </row>
    <row r="303" spans="3:3" x14ac:dyDescent="0.3">
      <c r="C303"/>
    </row>
    <row r="304" spans="3:3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3:3" x14ac:dyDescent="0.3">
      <c r="C369"/>
    </row>
    <row r="370" spans="3:3" x14ac:dyDescent="0.3">
      <c r="C370"/>
    </row>
    <row r="371" spans="3:3" x14ac:dyDescent="0.3">
      <c r="C371"/>
    </row>
    <row r="372" spans="3:3" x14ac:dyDescent="0.3">
      <c r="C372"/>
    </row>
    <row r="373" spans="3:3" x14ac:dyDescent="0.3">
      <c r="C373"/>
    </row>
    <row r="374" spans="3:3" x14ac:dyDescent="0.3">
      <c r="C374"/>
    </row>
    <row r="375" spans="3:3" x14ac:dyDescent="0.3">
      <c r="C375"/>
    </row>
    <row r="376" spans="3:3" x14ac:dyDescent="0.3">
      <c r="C376"/>
    </row>
    <row r="377" spans="3:3" x14ac:dyDescent="0.3">
      <c r="C377"/>
    </row>
    <row r="378" spans="3:3" x14ac:dyDescent="0.3">
      <c r="C378"/>
    </row>
    <row r="379" spans="3:3" x14ac:dyDescent="0.3">
      <c r="C379"/>
    </row>
    <row r="380" spans="3:3" x14ac:dyDescent="0.3">
      <c r="C380"/>
    </row>
    <row r="381" spans="3:3" x14ac:dyDescent="0.3">
      <c r="C381"/>
    </row>
    <row r="382" spans="3:3" x14ac:dyDescent="0.3">
      <c r="C382"/>
    </row>
    <row r="383" spans="3:3" x14ac:dyDescent="0.3">
      <c r="C383"/>
    </row>
    <row r="384" spans="3:3" x14ac:dyDescent="0.3">
      <c r="C384"/>
    </row>
    <row r="385" spans="3:3" x14ac:dyDescent="0.3">
      <c r="C385"/>
    </row>
    <row r="386" spans="3:3" x14ac:dyDescent="0.3">
      <c r="C386"/>
    </row>
    <row r="387" spans="3:3" x14ac:dyDescent="0.3">
      <c r="C387"/>
    </row>
    <row r="388" spans="3:3" x14ac:dyDescent="0.3">
      <c r="C388"/>
    </row>
    <row r="389" spans="3:3" x14ac:dyDescent="0.3">
      <c r="C389"/>
    </row>
    <row r="390" spans="3:3" x14ac:dyDescent="0.3">
      <c r="C390"/>
    </row>
    <row r="391" spans="3:3" x14ac:dyDescent="0.3">
      <c r="C391"/>
    </row>
    <row r="392" spans="3:3" x14ac:dyDescent="0.3">
      <c r="C392"/>
    </row>
    <row r="393" spans="3:3" x14ac:dyDescent="0.3">
      <c r="C393"/>
    </row>
    <row r="394" spans="3:3" x14ac:dyDescent="0.3">
      <c r="C394"/>
    </row>
    <row r="395" spans="3:3" x14ac:dyDescent="0.3">
      <c r="C395"/>
    </row>
    <row r="396" spans="3:3" x14ac:dyDescent="0.3">
      <c r="C396"/>
    </row>
    <row r="397" spans="3:3" x14ac:dyDescent="0.3">
      <c r="C397"/>
    </row>
    <row r="398" spans="3:3" x14ac:dyDescent="0.3">
      <c r="C398"/>
    </row>
    <row r="399" spans="3:3" x14ac:dyDescent="0.3">
      <c r="C399"/>
    </row>
    <row r="400" spans="3:3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</sheetData>
  <mergeCells count="11">
    <mergeCell ref="A3:A7"/>
    <mergeCell ref="T9:T31"/>
    <mergeCell ref="G1:J1"/>
    <mergeCell ref="K1:N1"/>
    <mergeCell ref="O1:R1"/>
    <mergeCell ref="C3:C7"/>
    <mergeCell ref="AB1:AD1"/>
    <mergeCell ref="T3:T7"/>
    <mergeCell ref="Y1:Z1"/>
    <mergeCell ref="W1:X1"/>
    <mergeCell ref="U1:V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BD35-3494-4E9B-9B03-38B8372F8B86}">
  <sheetPr>
    <tabColor theme="1" tint="4.9989318521683403E-2"/>
  </sheetPr>
  <dimension ref="A1:AB79"/>
  <sheetViews>
    <sheetView workbookViewId="0">
      <selection activeCell="AE16" sqref="AE16"/>
    </sheetView>
  </sheetViews>
  <sheetFormatPr baseColWidth="10" defaultColWidth="11.42578125" defaultRowHeight="15" x14ac:dyDescent="0.25"/>
  <cols>
    <col min="1" max="2" width="7.5703125" customWidth="1"/>
    <col min="3" max="4" width="9" customWidth="1"/>
    <col min="5" max="5" width="7.5703125" customWidth="1"/>
    <col min="6" max="6" width="3.85546875" customWidth="1"/>
    <col min="7" max="7" width="10.7109375" style="1" customWidth="1"/>
    <col min="8" max="9" width="4" style="88" customWidth="1"/>
    <col min="10" max="10" width="4" customWidth="1"/>
    <col min="11" max="11" width="5.140625" customWidth="1"/>
    <col min="12" max="12" width="10.85546875" customWidth="1"/>
    <col min="13" max="17" width="9.140625" customWidth="1"/>
    <col min="21" max="22" width="0" hidden="1" customWidth="1"/>
    <col min="23" max="25" width="8.7109375" hidden="1" customWidth="1"/>
    <col min="26" max="28" width="0" hidden="1" customWidth="1"/>
  </cols>
  <sheetData>
    <row r="1" spans="1:28" x14ac:dyDescent="0.25">
      <c r="A1" s="132" t="s">
        <v>586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28" x14ac:dyDescent="0.25">
      <c r="A2" s="149" t="s">
        <v>51</v>
      </c>
      <c r="B2" s="149"/>
      <c r="C2" s="149"/>
      <c r="D2" s="149"/>
      <c r="E2" s="149"/>
    </row>
    <row r="3" spans="1:28" ht="36.75" customHeight="1" x14ac:dyDescent="0.25">
      <c r="A3" s="110" t="s">
        <v>587</v>
      </c>
      <c r="B3" s="110" t="s">
        <v>580</v>
      </c>
      <c r="C3" s="151" t="s">
        <v>588</v>
      </c>
      <c r="D3" s="151"/>
      <c r="E3" s="111" t="str">
        <f>TEXT(A5,"0,0")</f>
        <v>0,3</v>
      </c>
      <c r="G3" s="108"/>
      <c r="H3" s="152" t="s">
        <v>589</v>
      </c>
      <c r="I3" s="152"/>
      <c r="J3" s="152"/>
      <c r="K3" s="88"/>
      <c r="L3" s="153" t="s">
        <v>590</v>
      </c>
      <c r="M3" s="153"/>
      <c r="N3" s="153"/>
      <c r="O3" s="153"/>
      <c r="P3" s="153"/>
      <c r="Q3" s="153"/>
    </row>
    <row r="4" spans="1:28" s="87" customFormat="1" ht="45" x14ac:dyDescent="0.25">
      <c r="A4" s="112" t="s">
        <v>591</v>
      </c>
      <c r="B4" s="112" t="s">
        <v>592</v>
      </c>
      <c r="C4" s="112" t="s">
        <v>593</v>
      </c>
      <c r="D4" s="112" t="s">
        <v>594</v>
      </c>
      <c r="E4" s="112" t="s">
        <v>595</v>
      </c>
      <c r="G4" s="113" t="s">
        <v>596</v>
      </c>
      <c r="H4" s="109">
        <v>436</v>
      </c>
      <c r="I4" s="109">
        <v>525</v>
      </c>
      <c r="J4" s="114">
        <v>626</v>
      </c>
      <c r="L4" s="95" t="s">
        <v>597</v>
      </c>
      <c r="M4" s="95" t="s">
        <v>557</v>
      </c>
      <c r="N4" s="94" t="s">
        <v>597</v>
      </c>
      <c r="O4" s="94" t="s">
        <v>573</v>
      </c>
      <c r="P4" s="93" t="s">
        <v>597</v>
      </c>
      <c r="Q4" s="93" t="s">
        <v>574</v>
      </c>
      <c r="U4" s="149" t="s">
        <v>51</v>
      </c>
      <c r="V4" s="149"/>
      <c r="W4" s="149"/>
      <c r="X4" s="149"/>
      <c r="Y4" s="149"/>
      <c r="Z4" s="149"/>
      <c r="AA4" s="149"/>
      <c r="AB4" s="149"/>
    </row>
    <row r="5" spans="1:28" ht="17.25" customHeight="1" x14ac:dyDescent="0.25">
      <c r="A5" s="105">
        <f>'Estadistico resumen'!Z3</f>
        <v>0.30213513358838356</v>
      </c>
      <c r="B5" s="106">
        <f>'Estadistico resumen'!AB3</f>
        <v>657.5</v>
      </c>
      <c r="C5" s="99">
        <v>1</v>
      </c>
      <c r="D5" s="107">
        <v>20</v>
      </c>
      <c r="E5" s="104">
        <f>((A5*B5)+(C5*D5))/(B5+D5)</f>
        <v>0.32273631045662315</v>
      </c>
      <c r="G5" s="99">
        <v>1</v>
      </c>
      <c r="H5" s="88">
        <v>27</v>
      </c>
      <c r="I5" s="88">
        <v>57</v>
      </c>
      <c r="J5">
        <v>31</v>
      </c>
      <c r="L5" s="99" t="s">
        <v>598</v>
      </c>
      <c r="M5" s="96">
        <v>27</v>
      </c>
      <c r="N5" s="99" t="s">
        <v>598</v>
      </c>
      <c r="O5" s="97">
        <v>57</v>
      </c>
      <c r="P5" s="99" t="s">
        <v>598</v>
      </c>
      <c r="Q5" s="98">
        <v>31</v>
      </c>
      <c r="U5" s="126" t="s">
        <v>721</v>
      </c>
      <c r="V5" s="126" t="s">
        <v>722</v>
      </c>
      <c r="W5" s="150" t="s">
        <v>588</v>
      </c>
      <c r="X5" s="150"/>
      <c r="Y5" s="127">
        <v>0.91</v>
      </c>
      <c r="Z5" s="131" t="s">
        <v>727</v>
      </c>
      <c r="AA5" s="131"/>
      <c r="AB5" s="131"/>
    </row>
    <row r="6" spans="1:28" x14ac:dyDescent="0.25">
      <c r="A6" s="102">
        <f t="shared" ref="A6:A30" si="0">A5</f>
        <v>0.30213513358838356</v>
      </c>
      <c r="B6" s="103">
        <f t="shared" ref="B6:B30" si="1">B5</f>
        <v>657.5</v>
      </c>
      <c r="C6" s="99">
        <v>2</v>
      </c>
      <c r="D6" s="99">
        <f t="shared" ref="D6:D30" si="2">D5</f>
        <v>20</v>
      </c>
      <c r="E6" s="104">
        <f t="shared" ref="E6:E30" si="3">((A6*B6)+(C6*D6))/(B6+D6)</f>
        <v>0.35225660565957523</v>
      </c>
      <c r="G6" s="99">
        <v>2</v>
      </c>
      <c r="H6" s="88">
        <v>14</v>
      </c>
      <c r="I6" s="88">
        <v>28</v>
      </c>
      <c r="J6">
        <v>16</v>
      </c>
      <c r="L6" s="99" t="s">
        <v>599</v>
      </c>
      <c r="M6" s="96">
        <v>14</v>
      </c>
      <c r="N6" s="99" t="s">
        <v>599</v>
      </c>
      <c r="O6" s="97">
        <v>28</v>
      </c>
      <c r="P6" s="99" t="s">
        <v>599</v>
      </c>
      <c r="Q6" s="98">
        <v>16</v>
      </c>
      <c r="U6" s="112" t="s">
        <v>591</v>
      </c>
      <c r="V6" s="112" t="s">
        <v>592</v>
      </c>
      <c r="W6" s="112" t="s">
        <v>593</v>
      </c>
      <c r="X6" s="112" t="s">
        <v>594</v>
      </c>
      <c r="Y6" s="112" t="s">
        <v>725</v>
      </c>
      <c r="Z6" s="112" t="str">
        <f t="shared" ref="Z6:Z8" si="4">W6</f>
        <v>Cv</v>
      </c>
      <c r="AA6" s="112" t="s">
        <v>589</v>
      </c>
      <c r="AB6" s="112" t="s">
        <v>726</v>
      </c>
    </row>
    <row r="7" spans="1:28" x14ac:dyDescent="0.25">
      <c r="A7" s="102">
        <f t="shared" si="0"/>
        <v>0.30213513358838356</v>
      </c>
      <c r="B7" s="103">
        <f t="shared" si="1"/>
        <v>657.5</v>
      </c>
      <c r="C7" s="99">
        <v>3</v>
      </c>
      <c r="D7" s="99">
        <f t="shared" si="2"/>
        <v>20</v>
      </c>
      <c r="E7" s="104">
        <f t="shared" si="3"/>
        <v>0.3817769008625273</v>
      </c>
      <c r="G7" s="99">
        <v>3</v>
      </c>
      <c r="H7" s="88">
        <v>9</v>
      </c>
      <c r="I7" s="88">
        <v>19</v>
      </c>
      <c r="J7">
        <v>10</v>
      </c>
      <c r="L7" s="99" t="s">
        <v>600</v>
      </c>
      <c r="M7" s="96">
        <v>9</v>
      </c>
      <c r="N7" s="99" t="s">
        <v>600</v>
      </c>
      <c r="O7" s="97">
        <v>19</v>
      </c>
      <c r="P7" s="99" t="s">
        <v>600</v>
      </c>
      <c r="Q7" s="98">
        <v>10</v>
      </c>
      <c r="U7" s="105">
        <f>Y5</f>
        <v>0.91</v>
      </c>
      <c r="V7" s="106">
        <v>658</v>
      </c>
      <c r="W7" s="107">
        <v>1</v>
      </c>
      <c r="X7" s="129">
        <v>13.92</v>
      </c>
      <c r="Y7" s="104">
        <f>((U7*V7)+(W7*X7))/(V7+X7)</f>
        <v>0.91186450767948557</v>
      </c>
      <c r="Z7" s="128">
        <f t="shared" si="4"/>
        <v>1</v>
      </c>
      <c r="AA7" s="107">
        <v>3</v>
      </c>
      <c r="AB7" t="s">
        <v>723</v>
      </c>
    </row>
    <row r="8" spans="1:28" x14ac:dyDescent="0.25">
      <c r="A8" s="102">
        <f t="shared" si="0"/>
        <v>0.30213513358838356</v>
      </c>
      <c r="B8" s="103">
        <f t="shared" si="1"/>
        <v>657.5</v>
      </c>
      <c r="C8" s="91">
        <v>4</v>
      </c>
      <c r="D8" s="91">
        <f t="shared" si="2"/>
        <v>20</v>
      </c>
      <c r="E8" s="92">
        <f t="shared" si="3"/>
        <v>0.41129719606547932</v>
      </c>
      <c r="G8" s="99">
        <v>4</v>
      </c>
      <c r="H8" s="88">
        <v>7</v>
      </c>
      <c r="I8" s="88">
        <v>14</v>
      </c>
      <c r="J8">
        <v>8</v>
      </c>
      <c r="L8" s="99" t="s">
        <v>601</v>
      </c>
      <c r="M8" s="96">
        <v>7</v>
      </c>
      <c r="N8" s="99" t="s">
        <v>601</v>
      </c>
      <c r="O8" s="97">
        <v>14</v>
      </c>
      <c r="P8" s="99" t="s">
        <v>601</v>
      </c>
      <c r="Q8" s="98">
        <v>8</v>
      </c>
      <c r="U8" s="105">
        <f>Y5</f>
        <v>0.91</v>
      </c>
      <c r="V8" s="106">
        <v>658</v>
      </c>
      <c r="W8" s="128">
        <v>3.4</v>
      </c>
      <c r="X8" s="129">
        <v>13.92</v>
      </c>
      <c r="Y8" s="104">
        <f>((U8*V8)+(W8*X8))/(V8+X8)</f>
        <v>0.96158471246576971</v>
      </c>
      <c r="Z8" s="128">
        <f t="shared" si="4"/>
        <v>3.4</v>
      </c>
      <c r="AA8" s="107">
        <v>2</v>
      </c>
      <c r="AB8" t="s">
        <v>724</v>
      </c>
    </row>
    <row r="9" spans="1:28" x14ac:dyDescent="0.25">
      <c r="A9" s="102">
        <f t="shared" si="0"/>
        <v>0.30213513358838356</v>
      </c>
      <c r="B9" s="103">
        <f t="shared" si="1"/>
        <v>657.5</v>
      </c>
      <c r="C9" s="99">
        <v>5</v>
      </c>
      <c r="D9" s="99">
        <f t="shared" si="2"/>
        <v>20</v>
      </c>
      <c r="E9" s="104">
        <f t="shared" si="3"/>
        <v>0.44081749126843134</v>
      </c>
      <c r="G9" s="99">
        <v>5</v>
      </c>
      <c r="H9" s="88">
        <v>6</v>
      </c>
      <c r="I9" s="88">
        <v>11</v>
      </c>
      <c r="J9">
        <v>6</v>
      </c>
      <c r="L9" s="99" t="s">
        <v>602</v>
      </c>
      <c r="M9" s="96">
        <v>6</v>
      </c>
      <c r="N9" s="99" t="s">
        <v>602</v>
      </c>
      <c r="O9" s="97">
        <v>11</v>
      </c>
      <c r="P9" s="99" t="s">
        <v>602</v>
      </c>
      <c r="Q9" s="98">
        <v>6</v>
      </c>
    </row>
    <row r="10" spans="1:28" x14ac:dyDescent="0.25">
      <c r="A10" s="102">
        <f t="shared" si="0"/>
        <v>0.30213513358838356</v>
      </c>
      <c r="B10" s="103">
        <f t="shared" si="1"/>
        <v>657.5</v>
      </c>
      <c r="C10" s="91">
        <v>6</v>
      </c>
      <c r="D10" s="91">
        <f t="shared" si="2"/>
        <v>20</v>
      </c>
      <c r="E10" s="92">
        <f t="shared" si="3"/>
        <v>0.47033778647138336</v>
      </c>
      <c r="G10" s="99">
        <v>6</v>
      </c>
      <c r="H10" s="88">
        <v>5</v>
      </c>
      <c r="I10" s="88">
        <v>9</v>
      </c>
      <c r="J10">
        <v>5</v>
      </c>
      <c r="L10" s="99" t="s">
        <v>603</v>
      </c>
      <c r="M10" s="96">
        <v>5</v>
      </c>
      <c r="N10" s="99" t="s">
        <v>603</v>
      </c>
      <c r="O10" s="97">
        <v>9</v>
      </c>
      <c r="P10" s="99" t="s">
        <v>603</v>
      </c>
      <c r="Q10" s="98">
        <v>5</v>
      </c>
    </row>
    <row r="11" spans="1:28" x14ac:dyDescent="0.25">
      <c r="A11" s="102">
        <f t="shared" si="0"/>
        <v>0.30213513358838356</v>
      </c>
      <c r="B11" s="103">
        <f t="shared" si="1"/>
        <v>657.5</v>
      </c>
      <c r="C11" s="99">
        <v>7</v>
      </c>
      <c r="D11" s="99">
        <f t="shared" si="2"/>
        <v>20</v>
      </c>
      <c r="E11" s="104">
        <f t="shared" si="3"/>
        <v>0.49985808167433537</v>
      </c>
      <c r="G11" s="99">
        <v>7</v>
      </c>
      <c r="H11" s="88">
        <v>4</v>
      </c>
      <c r="I11" s="88">
        <v>8</v>
      </c>
      <c r="J11">
        <v>4</v>
      </c>
      <c r="L11" s="99" t="s">
        <v>604</v>
      </c>
      <c r="M11" s="96">
        <v>4</v>
      </c>
      <c r="N11" s="99" t="s">
        <v>605</v>
      </c>
      <c r="O11" s="97">
        <v>8</v>
      </c>
      <c r="P11" s="99" t="s">
        <v>604</v>
      </c>
      <c r="Q11" s="98">
        <v>4</v>
      </c>
    </row>
    <row r="12" spans="1:28" x14ac:dyDescent="0.25">
      <c r="A12" s="102">
        <f t="shared" si="0"/>
        <v>0.30213513358838356</v>
      </c>
      <c r="B12" s="103">
        <f t="shared" si="1"/>
        <v>657.5</v>
      </c>
      <c r="C12" s="91">
        <v>8</v>
      </c>
      <c r="D12" s="91">
        <f t="shared" si="2"/>
        <v>20</v>
      </c>
      <c r="E12" s="92">
        <f t="shared" si="3"/>
        <v>0.52937837687728739</v>
      </c>
      <c r="G12" s="99">
        <v>8</v>
      </c>
      <c r="H12" s="88">
        <v>4</v>
      </c>
      <c r="I12" s="88">
        <v>7</v>
      </c>
      <c r="J12">
        <v>4</v>
      </c>
      <c r="L12" s="99" t="s">
        <v>606</v>
      </c>
      <c r="M12" s="96">
        <v>3</v>
      </c>
      <c r="N12" s="99" t="s">
        <v>607</v>
      </c>
      <c r="O12" s="97">
        <v>7</v>
      </c>
      <c r="P12" s="99" t="s">
        <v>608</v>
      </c>
      <c r="Q12" s="98">
        <v>3</v>
      </c>
    </row>
    <row r="13" spans="1:28" x14ac:dyDescent="0.25">
      <c r="A13" s="102">
        <f t="shared" si="0"/>
        <v>0.30213513358838356</v>
      </c>
      <c r="B13" s="103">
        <f t="shared" si="1"/>
        <v>657.5</v>
      </c>
      <c r="C13" s="89">
        <v>9</v>
      </c>
      <c r="D13" s="89">
        <f t="shared" si="2"/>
        <v>20</v>
      </c>
      <c r="E13" s="90">
        <f t="shared" si="3"/>
        <v>0.55889867208023947</v>
      </c>
      <c r="G13" s="99">
        <v>9</v>
      </c>
      <c r="H13" s="88">
        <v>3</v>
      </c>
      <c r="I13" s="88">
        <v>6</v>
      </c>
      <c r="J13">
        <v>3</v>
      </c>
      <c r="L13" s="99" t="s">
        <v>609</v>
      </c>
      <c r="M13" s="96">
        <v>2</v>
      </c>
      <c r="N13" s="99" t="s">
        <v>610</v>
      </c>
      <c r="O13" s="97">
        <v>6</v>
      </c>
      <c r="P13" s="99" t="s">
        <v>611</v>
      </c>
      <c r="Q13" s="98">
        <v>2</v>
      </c>
    </row>
    <row r="14" spans="1:28" x14ac:dyDescent="0.25">
      <c r="A14" s="102">
        <f t="shared" si="0"/>
        <v>0.30213513358838356</v>
      </c>
      <c r="B14" s="103">
        <f t="shared" si="1"/>
        <v>657.5</v>
      </c>
      <c r="C14" s="91">
        <v>10</v>
      </c>
      <c r="D14" s="91">
        <f t="shared" si="2"/>
        <v>20</v>
      </c>
      <c r="E14" s="92">
        <f t="shared" si="3"/>
        <v>0.58841896728319154</v>
      </c>
      <c r="G14" s="99">
        <v>10</v>
      </c>
      <c r="H14" s="88">
        <v>3</v>
      </c>
      <c r="I14" s="88">
        <v>6</v>
      </c>
      <c r="J14">
        <v>3</v>
      </c>
      <c r="L14" s="100" t="s">
        <v>612</v>
      </c>
      <c r="M14" s="96">
        <v>1</v>
      </c>
      <c r="N14" s="99" t="s">
        <v>613</v>
      </c>
      <c r="O14" s="97">
        <v>5</v>
      </c>
      <c r="P14" s="100" t="s">
        <v>614</v>
      </c>
      <c r="Q14" s="98">
        <v>1</v>
      </c>
    </row>
    <row r="15" spans="1:28" x14ac:dyDescent="0.25">
      <c r="A15" s="102">
        <f t="shared" si="0"/>
        <v>0.30213513358838356</v>
      </c>
      <c r="B15" s="103">
        <f t="shared" si="1"/>
        <v>657.5</v>
      </c>
      <c r="C15" s="89">
        <v>11</v>
      </c>
      <c r="D15" s="89">
        <f t="shared" si="2"/>
        <v>20</v>
      </c>
      <c r="E15" s="90">
        <f t="shared" si="3"/>
        <v>0.6179392624861435</v>
      </c>
      <c r="G15" s="99">
        <v>11</v>
      </c>
      <c r="H15" s="88">
        <v>3</v>
      </c>
      <c r="I15" s="88">
        <v>5</v>
      </c>
      <c r="J15">
        <v>3</v>
      </c>
      <c r="L15" s="101"/>
      <c r="M15" s="101"/>
      <c r="N15" s="99" t="s">
        <v>615</v>
      </c>
      <c r="O15" s="97">
        <v>4</v>
      </c>
      <c r="P15" s="101"/>
      <c r="Q15" s="101"/>
    </row>
    <row r="16" spans="1:28" x14ac:dyDescent="0.25">
      <c r="A16" s="102">
        <f t="shared" si="0"/>
        <v>0.30213513358838356</v>
      </c>
      <c r="B16" s="103">
        <f t="shared" si="1"/>
        <v>657.5</v>
      </c>
      <c r="C16" s="99">
        <v>12</v>
      </c>
      <c r="D16" s="99">
        <f t="shared" si="2"/>
        <v>20</v>
      </c>
      <c r="E16" s="104">
        <f t="shared" si="3"/>
        <v>0.64745955768909558</v>
      </c>
      <c r="G16" s="99">
        <v>12</v>
      </c>
      <c r="H16" s="88">
        <v>3</v>
      </c>
      <c r="I16" s="88">
        <v>5</v>
      </c>
      <c r="J16">
        <v>2</v>
      </c>
      <c r="L16" s="101"/>
      <c r="M16" s="101"/>
      <c r="N16" s="99" t="s">
        <v>616</v>
      </c>
      <c r="O16" s="97">
        <v>3</v>
      </c>
      <c r="P16" s="101"/>
      <c r="Q16" s="101"/>
    </row>
    <row r="17" spans="1:17" x14ac:dyDescent="0.25">
      <c r="A17" s="102">
        <f t="shared" si="0"/>
        <v>0.30213513358838356</v>
      </c>
      <c r="B17" s="103">
        <f t="shared" si="1"/>
        <v>657.5</v>
      </c>
      <c r="C17" s="99">
        <v>13</v>
      </c>
      <c r="D17" s="99">
        <f t="shared" si="2"/>
        <v>20</v>
      </c>
      <c r="E17" s="104">
        <f t="shared" si="3"/>
        <v>0.67697985289204754</v>
      </c>
      <c r="G17" s="99">
        <v>13</v>
      </c>
      <c r="H17" s="88">
        <v>3</v>
      </c>
      <c r="I17" s="88">
        <v>4</v>
      </c>
      <c r="J17">
        <v>2</v>
      </c>
      <c r="L17" s="101"/>
      <c r="M17" s="101"/>
      <c r="N17" s="99" t="s">
        <v>617</v>
      </c>
      <c r="O17" s="97">
        <v>2</v>
      </c>
      <c r="P17" s="101"/>
      <c r="Q17" s="101"/>
    </row>
    <row r="18" spans="1:17" x14ac:dyDescent="0.25">
      <c r="A18" s="102">
        <f t="shared" si="0"/>
        <v>0.30213513358838356</v>
      </c>
      <c r="B18" s="103">
        <f t="shared" si="1"/>
        <v>657.5</v>
      </c>
      <c r="C18" s="89">
        <v>14</v>
      </c>
      <c r="D18" s="89">
        <f t="shared" si="2"/>
        <v>20</v>
      </c>
      <c r="E18" s="90">
        <f t="shared" si="3"/>
        <v>0.70650014809499961</v>
      </c>
      <c r="G18" s="99">
        <v>14</v>
      </c>
      <c r="H18" s="88">
        <v>2</v>
      </c>
      <c r="I18" s="88">
        <v>4</v>
      </c>
      <c r="J18">
        <v>2</v>
      </c>
      <c r="L18" s="101"/>
      <c r="M18" s="101"/>
      <c r="N18" s="100" t="s">
        <v>618</v>
      </c>
      <c r="O18" s="97">
        <v>1</v>
      </c>
      <c r="P18" s="101"/>
      <c r="Q18" s="101"/>
    </row>
    <row r="19" spans="1:17" x14ac:dyDescent="0.25">
      <c r="A19" s="102">
        <f t="shared" si="0"/>
        <v>0.30213513358838356</v>
      </c>
      <c r="B19" s="103">
        <f t="shared" si="1"/>
        <v>657.5</v>
      </c>
      <c r="C19" s="99">
        <v>15</v>
      </c>
      <c r="D19" s="99">
        <f t="shared" si="2"/>
        <v>20</v>
      </c>
      <c r="E19" s="104">
        <f t="shared" si="3"/>
        <v>0.73602044329795169</v>
      </c>
      <c r="G19" s="99">
        <v>15</v>
      </c>
      <c r="H19" s="88">
        <v>2</v>
      </c>
      <c r="I19" s="88">
        <v>4</v>
      </c>
      <c r="J19">
        <v>2</v>
      </c>
    </row>
    <row r="20" spans="1:17" x14ac:dyDescent="0.25">
      <c r="A20" s="102">
        <f t="shared" si="0"/>
        <v>0.30213513358838356</v>
      </c>
      <c r="B20" s="103">
        <f t="shared" si="1"/>
        <v>657.5</v>
      </c>
      <c r="C20" s="91">
        <v>16</v>
      </c>
      <c r="D20" s="91">
        <f t="shared" si="2"/>
        <v>20</v>
      </c>
      <c r="E20" s="92">
        <f t="shared" si="3"/>
        <v>0.76554073850090365</v>
      </c>
      <c r="G20" s="99">
        <v>16</v>
      </c>
      <c r="H20" s="88">
        <v>2</v>
      </c>
      <c r="I20" s="88">
        <v>4</v>
      </c>
      <c r="J20">
        <v>2</v>
      </c>
    </row>
    <row r="21" spans="1:17" x14ac:dyDescent="0.25">
      <c r="A21" s="102">
        <f t="shared" si="0"/>
        <v>0.30213513358838356</v>
      </c>
      <c r="B21" s="103">
        <f t="shared" si="1"/>
        <v>657.5</v>
      </c>
      <c r="C21" s="99">
        <v>17</v>
      </c>
      <c r="D21" s="99">
        <f t="shared" si="2"/>
        <v>20</v>
      </c>
      <c r="E21" s="104">
        <f t="shared" si="3"/>
        <v>0.79506103370385572</v>
      </c>
      <c r="G21" s="99">
        <v>17</v>
      </c>
      <c r="H21" s="88">
        <v>2</v>
      </c>
      <c r="I21" s="88">
        <v>3</v>
      </c>
      <c r="J21">
        <v>2</v>
      </c>
    </row>
    <row r="22" spans="1:17" x14ac:dyDescent="0.25">
      <c r="A22" s="102">
        <f t="shared" si="0"/>
        <v>0.30213513358838356</v>
      </c>
      <c r="B22" s="103">
        <f t="shared" si="1"/>
        <v>657.5</v>
      </c>
      <c r="C22" s="99">
        <v>18</v>
      </c>
      <c r="D22" s="99">
        <f t="shared" si="2"/>
        <v>20</v>
      </c>
      <c r="E22" s="104">
        <f t="shared" si="3"/>
        <v>0.82458132890680769</v>
      </c>
      <c r="G22" s="99">
        <v>18</v>
      </c>
      <c r="H22" s="88">
        <v>2</v>
      </c>
      <c r="I22" s="88">
        <v>3</v>
      </c>
      <c r="J22">
        <v>2</v>
      </c>
    </row>
    <row r="23" spans="1:17" x14ac:dyDescent="0.25">
      <c r="A23" s="102">
        <f t="shared" si="0"/>
        <v>0.30213513358838356</v>
      </c>
      <c r="B23" s="103">
        <f t="shared" si="1"/>
        <v>657.5</v>
      </c>
      <c r="C23" s="89">
        <v>19</v>
      </c>
      <c r="D23" s="89">
        <f t="shared" si="2"/>
        <v>20</v>
      </c>
      <c r="E23" s="90">
        <f t="shared" si="3"/>
        <v>0.85410162410975976</v>
      </c>
      <c r="G23" s="99">
        <v>19</v>
      </c>
      <c r="H23" s="88">
        <v>2</v>
      </c>
      <c r="I23" s="88">
        <v>3</v>
      </c>
      <c r="J23">
        <v>2</v>
      </c>
    </row>
    <row r="24" spans="1:17" x14ac:dyDescent="0.25">
      <c r="A24" s="102">
        <f t="shared" si="0"/>
        <v>0.30213513358838356</v>
      </c>
      <c r="B24" s="103">
        <f t="shared" si="1"/>
        <v>657.5</v>
      </c>
      <c r="C24" s="99">
        <v>20</v>
      </c>
      <c r="D24" s="99">
        <f t="shared" si="2"/>
        <v>20</v>
      </c>
      <c r="E24" s="104">
        <f t="shared" si="3"/>
        <v>0.88362191931271183</v>
      </c>
      <c r="G24" s="99">
        <v>20</v>
      </c>
      <c r="H24" s="88">
        <v>2</v>
      </c>
      <c r="I24" s="88">
        <v>3</v>
      </c>
      <c r="J24">
        <v>1</v>
      </c>
    </row>
    <row r="25" spans="1:17" x14ac:dyDescent="0.25">
      <c r="A25" s="102">
        <f t="shared" si="0"/>
        <v>0.30213513358838356</v>
      </c>
      <c r="B25" s="103">
        <f t="shared" si="1"/>
        <v>657.5</v>
      </c>
      <c r="C25" s="99">
        <v>21</v>
      </c>
      <c r="D25" s="99">
        <f t="shared" si="2"/>
        <v>20</v>
      </c>
      <c r="E25" s="104">
        <f t="shared" si="3"/>
        <v>0.9131422145156638</v>
      </c>
      <c r="G25" s="99">
        <v>21</v>
      </c>
      <c r="H25" s="88">
        <v>2</v>
      </c>
      <c r="I25" s="88">
        <v>3</v>
      </c>
      <c r="J25">
        <v>1</v>
      </c>
    </row>
    <row r="26" spans="1:17" x14ac:dyDescent="0.25">
      <c r="A26" s="102">
        <f t="shared" si="0"/>
        <v>0.30213513358838356</v>
      </c>
      <c r="B26" s="103">
        <f t="shared" si="1"/>
        <v>657.5</v>
      </c>
      <c r="C26" s="99">
        <v>22</v>
      </c>
      <c r="D26" s="99">
        <f t="shared" si="2"/>
        <v>20</v>
      </c>
      <c r="E26" s="104">
        <f t="shared" si="3"/>
        <v>0.94266250971861587</v>
      </c>
      <c r="G26" s="99">
        <v>22</v>
      </c>
      <c r="H26" s="88">
        <v>2</v>
      </c>
      <c r="I26" s="88">
        <v>3</v>
      </c>
      <c r="J26">
        <v>1</v>
      </c>
    </row>
    <row r="27" spans="1:17" x14ac:dyDescent="0.25">
      <c r="A27" s="102">
        <f t="shared" si="0"/>
        <v>0.30213513358838356</v>
      </c>
      <c r="B27" s="103">
        <f t="shared" si="1"/>
        <v>657.5</v>
      </c>
      <c r="C27" s="99">
        <v>23</v>
      </c>
      <c r="D27" s="99">
        <f t="shared" si="2"/>
        <v>20</v>
      </c>
      <c r="E27" s="104">
        <f t="shared" si="3"/>
        <v>0.97218280492156783</v>
      </c>
      <c r="G27" s="99">
        <v>23</v>
      </c>
      <c r="H27" s="88">
        <v>2</v>
      </c>
      <c r="I27" s="88">
        <v>3</v>
      </c>
      <c r="J27">
        <v>1</v>
      </c>
    </row>
    <row r="28" spans="1:17" x14ac:dyDescent="0.25">
      <c r="A28" s="102">
        <f t="shared" si="0"/>
        <v>0.30213513358838356</v>
      </c>
      <c r="B28" s="103">
        <f t="shared" si="1"/>
        <v>657.5</v>
      </c>
      <c r="C28" s="99">
        <v>24</v>
      </c>
      <c r="D28" s="99">
        <f t="shared" si="2"/>
        <v>20</v>
      </c>
      <c r="E28" s="104">
        <f t="shared" si="3"/>
        <v>1.0017031001245198</v>
      </c>
      <c r="G28" s="99">
        <v>24</v>
      </c>
      <c r="H28" s="88">
        <v>2</v>
      </c>
      <c r="I28" s="88">
        <v>2</v>
      </c>
      <c r="J28">
        <v>1</v>
      </c>
    </row>
    <row r="29" spans="1:17" x14ac:dyDescent="0.25">
      <c r="A29" s="102">
        <f t="shared" si="0"/>
        <v>0.30213513358838356</v>
      </c>
      <c r="B29" s="103">
        <f t="shared" si="1"/>
        <v>657.5</v>
      </c>
      <c r="C29" s="99">
        <v>25</v>
      </c>
      <c r="D29" s="99">
        <f t="shared" si="2"/>
        <v>20</v>
      </c>
      <c r="E29" s="104">
        <f t="shared" si="3"/>
        <v>1.0312233953274719</v>
      </c>
      <c r="G29" s="99">
        <v>25</v>
      </c>
      <c r="H29" s="88">
        <v>2</v>
      </c>
      <c r="I29" s="88">
        <v>2</v>
      </c>
      <c r="J29">
        <v>1</v>
      </c>
    </row>
    <row r="30" spans="1:17" x14ac:dyDescent="0.25">
      <c r="A30" s="102">
        <f t="shared" si="0"/>
        <v>0.30213513358838356</v>
      </c>
      <c r="B30" s="103">
        <f t="shared" si="1"/>
        <v>657.5</v>
      </c>
      <c r="C30" s="99">
        <v>26</v>
      </c>
      <c r="D30" s="99">
        <f t="shared" si="2"/>
        <v>20</v>
      </c>
      <c r="E30" s="104">
        <f t="shared" si="3"/>
        <v>1.0607436905304239</v>
      </c>
      <c r="G30" s="99">
        <v>26</v>
      </c>
      <c r="H30" s="88">
        <v>1</v>
      </c>
      <c r="I30" s="88">
        <v>2</v>
      </c>
      <c r="J30">
        <v>1</v>
      </c>
    </row>
    <row r="31" spans="1:17" x14ac:dyDescent="0.25">
      <c r="A31" s="102">
        <f t="shared" ref="A31:A46" si="5">A30</f>
        <v>0.30213513358838356</v>
      </c>
      <c r="B31" s="103">
        <f t="shared" ref="B31:B46" si="6">B30</f>
        <v>657.5</v>
      </c>
      <c r="C31" s="99">
        <v>27</v>
      </c>
      <c r="D31" s="99">
        <f t="shared" ref="D31:D46" si="7">D30</f>
        <v>20</v>
      </c>
      <c r="E31" s="104">
        <f t="shared" ref="E31:E46" si="8">((A31*B31)+(C31*D31))/(B31+D31)</f>
        <v>1.090263985733376</v>
      </c>
      <c r="G31" s="99">
        <v>27</v>
      </c>
      <c r="H31" s="88">
        <v>1</v>
      </c>
      <c r="I31" s="88">
        <v>2</v>
      </c>
      <c r="J31">
        <v>1</v>
      </c>
    </row>
    <row r="32" spans="1:17" x14ac:dyDescent="0.25">
      <c r="A32" s="102">
        <f t="shared" si="5"/>
        <v>0.30213513358838356</v>
      </c>
      <c r="B32" s="103">
        <f t="shared" si="6"/>
        <v>657.5</v>
      </c>
      <c r="C32" s="89">
        <v>28</v>
      </c>
      <c r="D32" s="89">
        <f t="shared" si="7"/>
        <v>20</v>
      </c>
      <c r="E32" s="90">
        <f t="shared" si="8"/>
        <v>1.1197842809363281</v>
      </c>
      <c r="G32" s="99">
        <v>28</v>
      </c>
      <c r="H32" s="88">
        <v>1</v>
      </c>
      <c r="I32" s="88">
        <v>2</v>
      </c>
      <c r="J32">
        <v>1</v>
      </c>
    </row>
    <row r="33" spans="1:10" x14ac:dyDescent="0.25">
      <c r="A33" s="102">
        <f t="shared" si="5"/>
        <v>0.30213513358838356</v>
      </c>
      <c r="B33" s="103">
        <f t="shared" si="6"/>
        <v>657.5</v>
      </c>
      <c r="C33" s="99">
        <v>29</v>
      </c>
      <c r="D33" s="99">
        <f t="shared" si="7"/>
        <v>20</v>
      </c>
      <c r="E33" s="104">
        <f t="shared" si="8"/>
        <v>1.1493045761392799</v>
      </c>
      <c r="G33" s="99">
        <v>29</v>
      </c>
      <c r="H33" s="88">
        <v>1</v>
      </c>
      <c r="I33" s="88">
        <v>2</v>
      </c>
      <c r="J33">
        <v>1</v>
      </c>
    </row>
    <row r="34" spans="1:10" x14ac:dyDescent="0.25">
      <c r="A34" s="102">
        <f t="shared" si="5"/>
        <v>0.30213513358838356</v>
      </c>
      <c r="B34" s="103">
        <f t="shared" si="6"/>
        <v>657.5</v>
      </c>
      <c r="C34" s="99">
        <v>30</v>
      </c>
      <c r="D34" s="99">
        <f t="shared" si="7"/>
        <v>20</v>
      </c>
      <c r="E34" s="104">
        <f t="shared" si="8"/>
        <v>1.178824871342232</v>
      </c>
      <c r="G34" s="99">
        <v>30</v>
      </c>
      <c r="H34" s="88">
        <v>1</v>
      </c>
      <c r="I34" s="88">
        <v>2</v>
      </c>
      <c r="J34">
        <v>1</v>
      </c>
    </row>
    <row r="35" spans="1:10" x14ac:dyDescent="0.25">
      <c r="A35" s="102">
        <f t="shared" si="5"/>
        <v>0.30213513358838356</v>
      </c>
      <c r="B35" s="103">
        <f t="shared" si="6"/>
        <v>657.5</v>
      </c>
      <c r="C35" s="91">
        <v>31</v>
      </c>
      <c r="D35" s="91">
        <f t="shared" si="7"/>
        <v>20</v>
      </c>
      <c r="E35" s="92">
        <f t="shared" si="8"/>
        <v>1.2083451665451841</v>
      </c>
      <c r="G35" s="99">
        <v>40</v>
      </c>
      <c r="H35" s="88">
        <v>1</v>
      </c>
      <c r="I35" s="88">
        <v>1</v>
      </c>
      <c r="J35">
        <v>1</v>
      </c>
    </row>
    <row r="36" spans="1:10" x14ac:dyDescent="0.25">
      <c r="A36" s="102">
        <f t="shared" si="5"/>
        <v>0.30213513358838356</v>
      </c>
      <c r="B36" s="103">
        <f t="shared" si="6"/>
        <v>657.5</v>
      </c>
      <c r="C36" s="99">
        <v>32</v>
      </c>
      <c r="D36" s="99">
        <f t="shared" si="7"/>
        <v>20</v>
      </c>
      <c r="E36" s="104">
        <f t="shared" si="8"/>
        <v>1.2378654617481362</v>
      </c>
      <c r="G36" s="99">
        <v>50</v>
      </c>
      <c r="H36" s="88">
        <v>1</v>
      </c>
      <c r="I36" s="88">
        <v>1</v>
      </c>
      <c r="J36">
        <v>1</v>
      </c>
    </row>
    <row r="37" spans="1:10" x14ac:dyDescent="0.25">
      <c r="A37" s="102">
        <f t="shared" si="5"/>
        <v>0.30213513358838356</v>
      </c>
      <c r="B37" s="103">
        <f t="shared" si="6"/>
        <v>657.5</v>
      </c>
      <c r="C37" s="99">
        <v>33</v>
      </c>
      <c r="D37" s="99">
        <f t="shared" si="7"/>
        <v>20</v>
      </c>
      <c r="E37" s="104">
        <f t="shared" si="8"/>
        <v>1.2673857569510882</v>
      </c>
      <c r="G37" s="99">
        <v>60</v>
      </c>
      <c r="H37" s="88">
        <v>1</v>
      </c>
      <c r="I37" s="88">
        <v>1</v>
      </c>
      <c r="J37">
        <v>1</v>
      </c>
    </row>
    <row r="38" spans="1:10" x14ac:dyDescent="0.25">
      <c r="A38" s="102">
        <f t="shared" si="5"/>
        <v>0.30213513358838356</v>
      </c>
      <c r="B38" s="103">
        <f t="shared" si="6"/>
        <v>657.5</v>
      </c>
      <c r="C38" s="99">
        <v>34</v>
      </c>
      <c r="D38" s="99">
        <f t="shared" si="7"/>
        <v>20</v>
      </c>
      <c r="E38" s="104">
        <f t="shared" si="8"/>
        <v>1.2969060521540401</v>
      </c>
      <c r="G38" s="99">
        <v>70</v>
      </c>
      <c r="H38" s="88">
        <v>1</v>
      </c>
      <c r="I38" s="88">
        <v>1</v>
      </c>
      <c r="J38">
        <v>1</v>
      </c>
    </row>
    <row r="39" spans="1:10" x14ac:dyDescent="0.25">
      <c r="A39" s="102">
        <f t="shared" si="5"/>
        <v>0.30213513358838356</v>
      </c>
      <c r="B39" s="103">
        <f t="shared" si="6"/>
        <v>657.5</v>
      </c>
      <c r="C39" s="99">
        <v>35</v>
      </c>
      <c r="D39" s="99">
        <f t="shared" si="7"/>
        <v>20</v>
      </c>
      <c r="E39" s="104">
        <f t="shared" si="8"/>
        <v>1.3264263473569922</v>
      </c>
      <c r="G39" s="99">
        <v>80</v>
      </c>
      <c r="H39" s="88">
        <v>1</v>
      </c>
      <c r="I39" s="88">
        <v>1</v>
      </c>
      <c r="J39">
        <v>1</v>
      </c>
    </row>
    <row r="40" spans="1:10" x14ac:dyDescent="0.25">
      <c r="A40" s="102">
        <f t="shared" si="5"/>
        <v>0.30213513358838356</v>
      </c>
      <c r="B40" s="103">
        <f t="shared" si="6"/>
        <v>657.5</v>
      </c>
      <c r="C40" s="99">
        <v>36</v>
      </c>
      <c r="D40" s="99">
        <f t="shared" si="7"/>
        <v>20</v>
      </c>
      <c r="E40" s="104">
        <f t="shared" si="8"/>
        <v>1.3559466425599442</v>
      </c>
      <c r="G40" s="99">
        <v>150</v>
      </c>
      <c r="H40" s="88">
        <v>1</v>
      </c>
      <c r="I40" s="88">
        <v>1</v>
      </c>
      <c r="J40">
        <v>1</v>
      </c>
    </row>
    <row r="41" spans="1:10" x14ac:dyDescent="0.25">
      <c r="A41" s="102">
        <f t="shared" si="5"/>
        <v>0.30213513358838356</v>
      </c>
      <c r="B41" s="103">
        <f t="shared" si="6"/>
        <v>657.5</v>
      </c>
      <c r="C41" s="99">
        <v>37</v>
      </c>
      <c r="D41" s="99">
        <f t="shared" si="7"/>
        <v>20</v>
      </c>
      <c r="E41" s="104">
        <f t="shared" si="8"/>
        <v>1.3854669377628963</v>
      </c>
      <c r="G41" s="99">
        <v>200</v>
      </c>
      <c r="H41" s="88">
        <v>1</v>
      </c>
      <c r="I41" s="88">
        <v>1</v>
      </c>
      <c r="J41">
        <v>1</v>
      </c>
    </row>
    <row r="42" spans="1:10" x14ac:dyDescent="0.25">
      <c r="A42" s="102">
        <f t="shared" si="5"/>
        <v>0.30213513358838356</v>
      </c>
      <c r="B42" s="103">
        <f t="shared" si="6"/>
        <v>657.5</v>
      </c>
      <c r="C42" s="99">
        <v>38</v>
      </c>
      <c r="D42" s="99">
        <f t="shared" si="7"/>
        <v>20</v>
      </c>
      <c r="E42" s="104">
        <f t="shared" si="8"/>
        <v>1.4149872329658484</v>
      </c>
      <c r="G42" s="99">
        <v>500</v>
      </c>
      <c r="H42" s="88">
        <v>1</v>
      </c>
      <c r="I42" s="88">
        <v>1</v>
      </c>
      <c r="J42">
        <v>1</v>
      </c>
    </row>
    <row r="43" spans="1:10" x14ac:dyDescent="0.25">
      <c r="A43" s="102">
        <f t="shared" si="5"/>
        <v>0.30213513358838356</v>
      </c>
      <c r="B43" s="103">
        <f t="shared" si="6"/>
        <v>657.5</v>
      </c>
      <c r="C43" s="99">
        <v>39</v>
      </c>
      <c r="D43" s="99">
        <f t="shared" si="7"/>
        <v>20</v>
      </c>
      <c r="E43" s="104">
        <f t="shared" si="8"/>
        <v>1.4445075281688002</v>
      </c>
    </row>
    <row r="44" spans="1:10" x14ac:dyDescent="0.25">
      <c r="A44" s="102">
        <f t="shared" si="5"/>
        <v>0.30213513358838356</v>
      </c>
      <c r="B44" s="103">
        <f t="shared" si="6"/>
        <v>657.5</v>
      </c>
      <c r="C44" s="99">
        <v>40</v>
      </c>
      <c r="D44" s="99">
        <f t="shared" si="7"/>
        <v>20</v>
      </c>
      <c r="E44" s="104">
        <f t="shared" si="8"/>
        <v>1.4740278233717523</v>
      </c>
    </row>
    <row r="45" spans="1:10" x14ac:dyDescent="0.25">
      <c r="A45" s="102">
        <f t="shared" si="5"/>
        <v>0.30213513358838356</v>
      </c>
      <c r="B45" s="103">
        <f t="shared" si="6"/>
        <v>657.5</v>
      </c>
      <c r="C45" s="99">
        <v>41</v>
      </c>
      <c r="D45" s="99">
        <f t="shared" si="7"/>
        <v>20</v>
      </c>
      <c r="E45" s="104">
        <f t="shared" si="8"/>
        <v>1.5035481185747044</v>
      </c>
    </row>
    <row r="46" spans="1:10" x14ac:dyDescent="0.25">
      <c r="A46" s="102">
        <f t="shared" si="5"/>
        <v>0.30213513358838356</v>
      </c>
      <c r="B46" s="103">
        <f t="shared" si="6"/>
        <v>657.5</v>
      </c>
      <c r="C46" s="99">
        <v>42</v>
      </c>
      <c r="D46" s="99">
        <f t="shared" si="7"/>
        <v>20</v>
      </c>
      <c r="E46" s="104">
        <f t="shared" si="8"/>
        <v>1.5330684137776565</v>
      </c>
    </row>
    <row r="47" spans="1:10" x14ac:dyDescent="0.25">
      <c r="A47" s="102">
        <f t="shared" ref="A47:A73" si="9">A46</f>
        <v>0.30213513358838356</v>
      </c>
      <c r="B47" s="103">
        <f t="shared" ref="B47:B73" si="10">B46</f>
        <v>657.5</v>
      </c>
      <c r="C47" s="99">
        <v>43</v>
      </c>
      <c r="D47" s="99">
        <f t="shared" ref="D47:D73" si="11">D46</f>
        <v>20</v>
      </c>
      <c r="E47" s="104">
        <f t="shared" ref="E47:E73" si="12">((A47*B47)+(C47*D47))/(B47+D47)</f>
        <v>1.5625887089806085</v>
      </c>
    </row>
    <row r="48" spans="1:10" x14ac:dyDescent="0.25">
      <c r="A48" s="102">
        <f t="shared" si="9"/>
        <v>0.30213513358838356</v>
      </c>
      <c r="B48" s="103">
        <f t="shared" si="10"/>
        <v>657.5</v>
      </c>
      <c r="C48" s="99">
        <v>44</v>
      </c>
      <c r="D48" s="99">
        <f t="shared" si="11"/>
        <v>20</v>
      </c>
      <c r="E48" s="104">
        <f t="shared" si="12"/>
        <v>1.5921090041835604</v>
      </c>
    </row>
    <row r="49" spans="1:5" x14ac:dyDescent="0.25">
      <c r="A49" s="102">
        <f t="shared" si="9"/>
        <v>0.30213513358838356</v>
      </c>
      <c r="B49" s="103">
        <f t="shared" si="10"/>
        <v>657.5</v>
      </c>
      <c r="C49" s="99">
        <v>45</v>
      </c>
      <c r="D49" s="99">
        <f t="shared" si="11"/>
        <v>20</v>
      </c>
      <c r="E49" s="104">
        <f t="shared" si="12"/>
        <v>1.6216292993865125</v>
      </c>
    </row>
    <row r="50" spans="1:5" x14ac:dyDescent="0.25">
      <c r="A50" s="102">
        <f t="shared" si="9"/>
        <v>0.30213513358838356</v>
      </c>
      <c r="B50" s="103">
        <f t="shared" si="10"/>
        <v>657.5</v>
      </c>
      <c r="C50" s="99">
        <v>46</v>
      </c>
      <c r="D50" s="99">
        <f t="shared" si="11"/>
        <v>20</v>
      </c>
      <c r="E50" s="104">
        <f t="shared" si="12"/>
        <v>1.6511495945894645</v>
      </c>
    </row>
    <row r="51" spans="1:5" x14ac:dyDescent="0.25">
      <c r="A51" s="102">
        <f t="shared" si="9"/>
        <v>0.30213513358838356</v>
      </c>
      <c r="B51" s="103">
        <f t="shared" si="10"/>
        <v>657.5</v>
      </c>
      <c r="C51" s="99">
        <v>47</v>
      </c>
      <c r="D51" s="99">
        <f t="shared" si="11"/>
        <v>20</v>
      </c>
      <c r="E51" s="104">
        <f t="shared" si="12"/>
        <v>1.6806698897924166</v>
      </c>
    </row>
    <row r="52" spans="1:5" x14ac:dyDescent="0.25">
      <c r="A52" s="102">
        <f t="shared" si="9"/>
        <v>0.30213513358838356</v>
      </c>
      <c r="B52" s="103">
        <f t="shared" si="10"/>
        <v>657.5</v>
      </c>
      <c r="C52" s="99">
        <v>48</v>
      </c>
      <c r="D52" s="99">
        <f t="shared" si="11"/>
        <v>20</v>
      </c>
      <c r="E52" s="104">
        <f t="shared" si="12"/>
        <v>1.7101901849953687</v>
      </c>
    </row>
    <row r="53" spans="1:5" x14ac:dyDescent="0.25">
      <c r="A53" s="102">
        <f t="shared" si="9"/>
        <v>0.30213513358838356</v>
      </c>
      <c r="B53" s="103">
        <f t="shared" si="10"/>
        <v>657.5</v>
      </c>
      <c r="C53" s="99">
        <v>49</v>
      </c>
      <c r="D53" s="99">
        <f t="shared" si="11"/>
        <v>20</v>
      </c>
      <c r="E53" s="104">
        <f t="shared" si="12"/>
        <v>1.7397104801983205</v>
      </c>
    </row>
    <row r="54" spans="1:5" x14ac:dyDescent="0.25">
      <c r="A54" s="102">
        <f t="shared" si="9"/>
        <v>0.30213513358838356</v>
      </c>
      <c r="B54" s="103">
        <f t="shared" si="10"/>
        <v>657.5</v>
      </c>
      <c r="C54" s="99">
        <v>50</v>
      </c>
      <c r="D54" s="99">
        <f t="shared" si="11"/>
        <v>20</v>
      </c>
      <c r="E54" s="104">
        <f t="shared" si="12"/>
        <v>1.7692307754012726</v>
      </c>
    </row>
    <row r="55" spans="1:5" x14ac:dyDescent="0.25">
      <c r="A55" s="102">
        <f t="shared" si="9"/>
        <v>0.30213513358838356</v>
      </c>
      <c r="B55" s="103">
        <f t="shared" si="10"/>
        <v>657.5</v>
      </c>
      <c r="C55" s="99">
        <v>51</v>
      </c>
      <c r="D55" s="99">
        <f t="shared" si="11"/>
        <v>20</v>
      </c>
      <c r="E55" s="104">
        <f t="shared" si="12"/>
        <v>1.7987510706042247</v>
      </c>
    </row>
    <row r="56" spans="1:5" x14ac:dyDescent="0.25">
      <c r="A56" s="102">
        <f t="shared" si="9"/>
        <v>0.30213513358838356</v>
      </c>
      <c r="B56" s="103">
        <f t="shared" si="10"/>
        <v>657.5</v>
      </c>
      <c r="C56" s="99">
        <v>52</v>
      </c>
      <c r="D56" s="99">
        <f t="shared" si="11"/>
        <v>20</v>
      </c>
      <c r="E56" s="104">
        <f t="shared" si="12"/>
        <v>1.8282713658071768</v>
      </c>
    </row>
    <row r="57" spans="1:5" x14ac:dyDescent="0.25">
      <c r="A57" s="102">
        <f t="shared" si="9"/>
        <v>0.30213513358838356</v>
      </c>
      <c r="B57" s="103">
        <f t="shared" si="10"/>
        <v>657.5</v>
      </c>
      <c r="C57" s="99">
        <v>53</v>
      </c>
      <c r="D57" s="99">
        <f t="shared" si="11"/>
        <v>20</v>
      </c>
      <c r="E57" s="104">
        <f t="shared" si="12"/>
        <v>1.8577916610101288</v>
      </c>
    </row>
    <row r="58" spans="1:5" x14ac:dyDescent="0.25">
      <c r="A58" s="102">
        <f t="shared" si="9"/>
        <v>0.30213513358838356</v>
      </c>
      <c r="B58" s="103">
        <f t="shared" si="10"/>
        <v>657.5</v>
      </c>
      <c r="C58" s="99">
        <v>54</v>
      </c>
      <c r="D58" s="99">
        <f t="shared" si="11"/>
        <v>20</v>
      </c>
      <c r="E58" s="104">
        <f t="shared" si="12"/>
        <v>1.8873119562130807</v>
      </c>
    </row>
    <row r="59" spans="1:5" x14ac:dyDescent="0.25">
      <c r="A59" s="102">
        <f t="shared" si="9"/>
        <v>0.30213513358838356</v>
      </c>
      <c r="B59" s="103">
        <f t="shared" si="10"/>
        <v>657.5</v>
      </c>
      <c r="C59" s="99">
        <v>55</v>
      </c>
      <c r="D59" s="99">
        <f t="shared" si="11"/>
        <v>20</v>
      </c>
      <c r="E59" s="104">
        <f t="shared" si="12"/>
        <v>1.9168322514160328</v>
      </c>
    </row>
    <row r="60" spans="1:5" x14ac:dyDescent="0.25">
      <c r="A60" s="102">
        <f t="shared" si="9"/>
        <v>0.30213513358838356</v>
      </c>
      <c r="B60" s="103">
        <f t="shared" si="10"/>
        <v>657.5</v>
      </c>
      <c r="C60" s="99">
        <v>56</v>
      </c>
      <c r="D60" s="99">
        <f t="shared" si="11"/>
        <v>20</v>
      </c>
      <c r="E60" s="104">
        <f t="shared" si="12"/>
        <v>1.9463525466189848</v>
      </c>
    </row>
    <row r="61" spans="1:5" x14ac:dyDescent="0.25">
      <c r="A61" s="102">
        <f t="shared" si="9"/>
        <v>0.30213513358838356</v>
      </c>
      <c r="B61" s="103">
        <f t="shared" si="10"/>
        <v>657.5</v>
      </c>
      <c r="C61" s="89">
        <v>57</v>
      </c>
      <c r="D61" s="89">
        <f t="shared" si="11"/>
        <v>20</v>
      </c>
      <c r="E61" s="90">
        <f t="shared" si="12"/>
        <v>1.9758728418219369</v>
      </c>
    </row>
    <row r="62" spans="1:5" x14ac:dyDescent="0.25">
      <c r="A62" s="102">
        <f t="shared" si="9"/>
        <v>0.30213513358838356</v>
      </c>
      <c r="B62" s="103">
        <f t="shared" si="10"/>
        <v>657.5</v>
      </c>
      <c r="C62" s="99">
        <v>58</v>
      </c>
      <c r="D62" s="99">
        <f t="shared" si="11"/>
        <v>20</v>
      </c>
      <c r="E62" s="104">
        <f t="shared" si="12"/>
        <v>2.005393137024889</v>
      </c>
    </row>
    <row r="63" spans="1:5" x14ac:dyDescent="0.25">
      <c r="A63" s="102">
        <f t="shared" si="9"/>
        <v>0.30213513358838356</v>
      </c>
      <c r="B63" s="103">
        <f t="shared" si="10"/>
        <v>657.5</v>
      </c>
      <c r="C63" s="99">
        <v>59</v>
      </c>
      <c r="D63" s="99">
        <f t="shared" si="11"/>
        <v>20</v>
      </c>
      <c r="E63" s="104">
        <f t="shared" si="12"/>
        <v>2.034913432227841</v>
      </c>
    </row>
    <row r="64" spans="1:5" x14ac:dyDescent="0.25">
      <c r="A64" s="102">
        <f t="shared" si="9"/>
        <v>0.30213513358838356</v>
      </c>
      <c r="B64" s="103">
        <f t="shared" si="10"/>
        <v>657.5</v>
      </c>
      <c r="C64" s="99">
        <v>60</v>
      </c>
      <c r="D64" s="99">
        <f t="shared" si="11"/>
        <v>20</v>
      </c>
      <c r="E64" s="104">
        <f t="shared" si="12"/>
        <v>2.0644337274307931</v>
      </c>
    </row>
    <row r="65" spans="1:5" x14ac:dyDescent="0.25">
      <c r="A65" s="102">
        <f t="shared" si="9"/>
        <v>0.30213513358838356</v>
      </c>
      <c r="B65" s="103">
        <f t="shared" si="10"/>
        <v>657.5</v>
      </c>
      <c r="C65" s="99">
        <v>61</v>
      </c>
      <c r="D65" s="99">
        <f t="shared" si="11"/>
        <v>20</v>
      </c>
      <c r="E65" s="104">
        <f t="shared" si="12"/>
        <v>2.0939540226337452</v>
      </c>
    </row>
    <row r="66" spans="1:5" x14ac:dyDescent="0.25">
      <c r="A66" s="102">
        <f t="shared" si="9"/>
        <v>0.30213513358838356</v>
      </c>
      <c r="B66" s="103">
        <f t="shared" si="10"/>
        <v>657.5</v>
      </c>
      <c r="C66" s="99">
        <v>62</v>
      </c>
      <c r="D66" s="99">
        <f t="shared" si="11"/>
        <v>20</v>
      </c>
      <c r="E66" s="104">
        <f t="shared" si="12"/>
        <v>2.1234743178366968</v>
      </c>
    </row>
    <row r="67" spans="1:5" x14ac:dyDescent="0.25">
      <c r="A67" s="102">
        <f t="shared" si="9"/>
        <v>0.30213513358838356</v>
      </c>
      <c r="B67" s="103">
        <f t="shared" si="10"/>
        <v>657.5</v>
      </c>
      <c r="C67" s="99">
        <v>63</v>
      </c>
      <c r="D67" s="99">
        <f t="shared" si="11"/>
        <v>20</v>
      </c>
      <c r="E67" s="104">
        <f t="shared" si="12"/>
        <v>2.1529946130396489</v>
      </c>
    </row>
    <row r="68" spans="1:5" x14ac:dyDescent="0.25">
      <c r="A68" s="102">
        <f t="shared" si="9"/>
        <v>0.30213513358838356</v>
      </c>
      <c r="B68" s="103">
        <f t="shared" si="10"/>
        <v>657.5</v>
      </c>
      <c r="C68" s="99">
        <v>64</v>
      </c>
      <c r="D68" s="99">
        <f t="shared" si="11"/>
        <v>20</v>
      </c>
      <c r="E68" s="104">
        <f t="shared" si="12"/>
        <v>2.182514908242601</v>
      </c>
    </row>
    <row r="69" spans="1:5" x14ac:dyDescent="0.25">
      <c r="A69" s="102">
        <f t="shared" si="9"/>
        <v>0.30213513358838356</v>
      </c>
      <c r="B69" s="103">
        <f t="shared" si="10"/>
        <v>657.5</v>
      </c>
      <c r="C69" s="99">
        <v>65</v>
      </c>
      <c r="D69" s="99">
        <f t="shared" si="11"/>
        <v>20</v>
      </c>
      <c r="E69" s="104">
        <f t="shared" si="12"/>
        <v>2.212035203445553</v>
      </c>
    </row>
    <row r="70" spans="1:5" x14ac:dyDescent="0.25">
      <c r="A70" s="102">
        <f t="shared" si="9"/>
        <v>0.30213513358838356</v>
      </c>
      <c r="B70" s="103">
        <f t="shared" si="10"/>
        <v>657.5</v>
      </c>
      <c r="C70" s="99">
        <v>66</v>
      </c>
      <c r="D70" s="99">
        <f t="shared" si="11"/>
        <v>20</v>
      </c>
      <c r="E70" s="104">
        <f t="shared" si="12"/>
        <v>2.2415554986485051</v>
      </c>
    </row>
    <row r="71" spans="1:5" x14ac:dyDescent="0.25">
      <c r="A71" s="102">
        <f t="shared" si="9"/>
        <v>0.30213513358838356</v>
      </c>
      <c r="B71" s="103">
        <f t="shared" si="10"/>
        <v>657.5</v>
      </c>
      <c r="C71" s="99">
        <v>67</v>
      </c>
      <c r="D71" s="99">
        <f t="shared" si="11"/>
        <v>20</v>
      </c>
      <c r="E71" s="104">
        <f t="shared" si="12"/>
        <v>2.2710757938514572</v>
      </c>
    </row>
    <row r="72" spans="1:5" x14ac:dyDescent="0.25">
      <c r="A72" s="102">
        <f t="shared" si="9"/>
        <v>0.30213513358838356</v>
      </c>
      <c r="B72" s="103">
        <f t="shared" si="10"/>
        <v>657.5</v>
      </c>
      <c r="C72" s="99">
        <v>68</v>
      </c>
      <c r="D72" s="99">
        <f t="shared" si="11"/>
        <v>20</v>
      </c>
      <c r="E72" s="104">
        <f t="shared" si="12"/>
        <v>2.3005960890544093</v>
      </c>
    </row>
    <row r="73" spans="1:5" x14ac:dyDescent="0.25">
      <c r="A73" s="102">
        <f t="shared" si="9"/>
        <v>0.30213513358838356</v>
      </c>
      <c r="B73" s="103">
        <f t="shared" si="10"/>
        <v>657.5</v>
      </c>
      <c r="C73" s="99">
        <v>69</v>
      </c>
      <c r="D73" s="99">
        <f t="shared" si="11"/>
        <v>20</v>
      </c>
      <c r="E73" s="104">
        <f t="shared" si="12"/>
        <v>2.3301163842573613</v>
      </c>
    </row>
    <row r="74" spans="1:5" x14ac:dyDescent="0.25">
      <c r="A74" s="102">
        <f t="shared" ref="A74:A79" si="13">A73</f>
        <v>0.30213513358838356</v>
      </c>
      <c r="B74" s="103">
        <f t="shared" ref="B74:B79" si="14">B73</f>
        <v>657.5</v>
      </c>
      <c r="C74" s="99">
        <v>70</v>
      </c>
      <c r="D74" s="99">
        <f t="shared" ref="D74:D79" si="15">D73</f>
        <v>20</v>
      </c>
      <c r="E74" s="104">
        <f t="shared" ref="E74:E79" si="16">((A74*B74)+(C74*D74))/(B74+D74)</f>
        <v>2.3596366794603134</v>
      </c>
    </row>
    <row r="75" spans="1:5" x14ac:dyDescent="0.25">
      <c r="A75" s="102">
        <f t="shared" si="13"/>
        <v>0.30213513358838356</v>
      </c>
      <c r="B75" s="103">
        <f t="shared" si="14"/>
        <v>657.5</v>
      </c>
      <c r="C75" s="99">
        <v>71</v>
      </c>
      <c r="D75" s="99">
        <f t="shared" si="15"/>
        <v>20</v>
      </c>
      <c r="E75" s="104">
        <f t="shared" si="16"/>
        <v>2.3891569746632655</v>
      </c>
    </row>
    <row r="76" spans="1:5" x14ac:dyDescent="0.25">
      <c r="A76" s="102">
        <f t="shared" si="13"/>
        <v>0.30213513358838356</v>
      </c>
      <c r="B76" s="103">
        <f t="shared" si="14"/>
        <v>657.5</v>
      </c>
      <c r="C76" s="99">
        <v>72</v>
      </c>
      <c r="D76" s="99">
        <f t="shared" si="15"/>
        <v>20</v>
      </c>
      <c r="E76" s="104">
        <f t="shared" si="16"/>
        <v>2.4186772698662171</v>
      </c>
    </row>
    <row r="77" spans="1:5" x14ac:dyDescent="0.25">
      <c r="A77" s="102">
        <f t="shared" si="13"/>
        <v>0.30213513358838356</v>
      </c>
      <c r="B77" s="103">
        <f t="shared" si="14"/>
        <v>657.5</v>
      </c>
      <c r="C77" s="99">
        <v>73</v>
      </c>
      <c r="D77" s="99">
        <f t="shared" si="15"/>
        <v>20</v>
      </c>
      <c r="E77" s="104">
        <f t="shared" si="16"/>
        <v>2.4481975650691692</v>
      </c>
    </row>
    <row r="78" spans="1:5" x14ac:dyDescent="0.25">
      <c r="A78" s="102">
        <f t="shared" si="13"/>
        <v>0.30213513358838356</v>
      </c>
      <c r="B78" s="103">
        <f t="shared" si="14"/>
        <v>657.5</v>
      </c>
      <c r="C78" s="99">
        <v>74</v>
      </c>
      <c r="D78" s="99">
        <f t="shared" si="15"/>
        <v>20</v>
      </c>
      <c r="E78" s="104">
        <f t="shared" si="16"/>
        <v>2.4777178602721213</v>
      </c>
    </row>
    <row r="79" spans="1:5" x14ac:dyDescent="0.25">
      <c r="A79" s="102">
        <f t="shared" si="13"/>
        <v>0.30213513358838356</v>
      </c>
      <c r="B79" s="103">
        <f t="shared" si="14"/>
        <v>657.5</v>
      </c>
      <c r="C79" s="99">
        <v>75</v>
      </c>
      <c r="D79" s="99">
        <f t="shared" si="15"/>
        <v>20</v>
      </c>
      <c r="E79" s="104">
        <f t="shared" si="16"/>
        <v>2.5072381554750733</v>
      </c>
    </row>
  </sheetData>
  <mergeCells count="8">
    <mergeCell ref="A2:E2"/>
    <mergeCell ref="A1:Q1"/>
    <mergeCell ref="W5:X5"/>
    <mergeCell ref="U4:AB4"/>
    <mergeCell ref="Z5:AB5"/>
    <mergeCell ref="C3:D3"/>
    <mergeCell ref="H3:J3"/>
    <mergeCell ref="L3:Q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3596-083A-4956-ABB5-81462C5AACBA}">
  <sheetPr>
    <tabColor theme="1" tint="4.9989318521683403E-2"/>
  </sheetPr>
  <dimension ref="A1:Q79"/>
  <sheetViews>
    <sheetView workbookViewId="0">
      <selection activeCell="E5" sqref="E5"/>
    </sheetView>
  </sheetViews>
  <sheetFormatPr baseColWidth="10" defaultColWidth="11.42578125" defaultRowHeight="15" x14ac:dyDescent="0.25"/>
  <cols>
    <col min="1" max="2" width="7.5703125" customWidth="1"/>
    <col min="3" max="4" width="9" customWidth="1"/>
    <col min="5" max="5" width="7.5703125" customWidth="1"/>
    <col min="6" max="6" width="3.85546875" customWidth="1"/>
    <col min="7" max="7" width="10.7109375" style="1" customWidth="1"/>
    <col min="8" max="9" width="4" style="88" customWidth="1"/>
    <col min="10" max="10" width="4" customWidth="1"/>
    <col min="11" max="11" width="5.140625" customWidth="1"/>
    <col min="12" max="12" width="10.85546875" customWidth="1"/>
    <col min="13" max="17" width="9.140625" customWidth="1"/>
  </cols>
  <sheetData>
    <row r="1" spans="1:17" x14ac:dyDescent="0.25">
      <c r="A1" s="132" t="s">
        <v>586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x14ac:dyDescent="0.25">
      <c r="A2" s="149" t="s">
        <v>121</v>
      </c>
      <c r="B2" s="149"/>
      <c r="C2" s="149"/>
      <c r="D2" s="149"/>
      <c r="E2" s="149"/>
    </row>
    <row r="3" spans="1:17" ht="36.75" customHeight="1" x14ac:dyDescent="0.25">
      <c r="A3" s="110" t="s">
        <v>587</v>
      </c>
      <c r="B3" s="110" t="s">
        <v>580</v>
      </c>
      <c r="C3" s="151" t="s">
        <v>588</v>
      </c>
      <c r="D3" s="151"/>
      <c r="E3" s="111" t="str">
        <f>TEXT(A5,"0,0")</f>
        <v>0,5</v>
      </c>
      <c r="G3" s="108"/>
      <c r="H3" s="152" t="s">
        <v>589</v>
      </c>
      <c r="I3" s="152"/>
      <c r="J3" s="152"/>
      <c r="K3" s="88"/>
      <c r="L3" s="153" t="s">
        <v>619</v>
      </c>
      <c r="M3" s="153"/>
      <c r="N3" s="153"/>
      <c r="O3" s="153"/>
      <c r="P3" s="153"/>
      <c r="Q3" s="153"/>
    </row>
    <row r="4" spans="1:17" s="87" customFormat="1" ht="45" x14ac:dyDescent="0.25">
      <c r="A4" s="112" t="s">
        <v>591</v>
      </c>
      <c r="B4" s="112" t="s">
        <v>592</v>
      </c>
      <c r="C4" s="112" t="s">
        <v>593</v>
      </c>
      <c r="D4" s="112" t="s">
        <v>594</v>
      </c>
      <c r="E4" s="112" t="s">
        <v>595</v>
      </c>
      <c r="G4" s="113" t="s">
        <v>596</v>
      </c>
      <c r="H4" s="109">
        <v>436</v>
      </c>
      <c r="I4" s="109">
        <v>525</v>
      </c>
      <c r="J4" s="114">
        <v>626</v>
      </c>
      <c r="L4" s="95" t="s">
        <v>597</v>
      </c>
      <c r="M4" s="95" t="s">
        <v>557</v>
      </c>
      <c r="N4" s="94" t="s">
        <v>597</v>
      </c>
      <c r="O4" s="94" t="s">
        <v>573</v>
      </c>
      <c r="P4" s="93" t="s">
        <v>597</v>
      </c>
      <c r="Q4" s="93" t="s">
        <v>574</v>
      </c>
    </row>
    <row r="5" spans="1:17" x14ac:dyDescent="0.25">
      <c r="A5" s="105">
        <f>'Estadistico resumen'!Z7</f>
        <v>0.53270682643332834</v>
      </c>
      <c r="B5" s="106">
        <f>'Estadistico resumen'!AB7</f>
        <v>145.59</v>
      </c>
      <c r="C5" s="99">
        <v>1</v>
      </c>
      <c r="D5" s="107">
        <v>50</v>
      </c>
      <c r="E5" s="104">
        <f>((A5*B5)+(C5*D5))/(B5+D5)</f>
        <v>0.65216415389553795</v>
      </c>
      <c r="G5" s="99">
        <v>1</v>
      </c>
      <c r="H5" s="88">
        <v>6</v>
      </c>
      <c r="I5" s="88">
        <v>9</v>
      </c>
      <c r="J5" s="1">
        <v>3</v>
      </c>
      <c r="L5" s="99" t="s">
        <v>598</v>
      </c>
      <c r="M5" s="96">
        <v>6</v>
      </c>
      <c r="N5" s="99" t="s">
        <v>598</v>
      </c>
      <c r="O5" s="97">
        <v>9</v>
      </c>
      <c r="P5" s="99" t="s">
        <v>598</v>
      </c>
      <c r="Q5" s="98">
        <v>3</v>
      </c>
    </row>
    <row r="6" spans="1:17" x14ac:dyDescent="0.25">
      <c r="A6" s="102">
        <f t="shared" ref="A6:B30" si="0">A5</f>
        <v>0.53270682643332834</v>
      </c>
      <c r="B6" s="103">
        <f t="shared" si="0"/>
        <v>145.59</v>
      </c>
      <c r="C6" s="89">
        <v>2</v>
      </c>
      <c r="D6" s="89">
        <f t="shared" ref="D6:D69" si="1">D5</f>
        <v>50</v>
      </c>
      <c r="E6" s="90">
        <f t="shared" ref="E6:E69" si="2">((A6*B6)+(C6*D6))/(B6+D6)</f>
        <v>0.90780094514253429</v>
      </c>
      <c r="G6" s="99">
        <v>2</v>
      </c>
      <c r="H6" s="88">
        <v>4</v>
      </c>
      <c r="I6" s="88">
        <v>5</v>
      </c>
      <c r="J6" s="1">
        <v>1</v>
      </c>
      <c r="L6" s="99" t="s">
        <v>599</v>
      </c>
      <c r="M6" s="96">
        <v>4</v>
      </c>
      <c r="N6" s="99" t="s">
        <v>599</v>
      </c>
      <c r="O6" s="97">
        <v>5</v>
      </c>
      <c r="P6" s="99" t="s">
        <v>620</v>
      </c>
      <c r="Q6" s="98">
        <v>1</v>
      </c>
    </row>
    <row r="7" spans="1:17" x14ac:dyDescent="0.25">
      <c r="A7" s="102">
        <f t="shared" si="0"/>
        <v>0.53270682643332834</v>
      </c>
      <c r="B7" s="103">
        <f t="shared" si="0"/>
        <v>145.59</v>
      </c>
      <c r="C7" s="98">
        <v>3</v>
      </c>
      <c r="D7" s="98">
        <f t="shared" si="1"/>
        <v>50</v>
      </c>
      <c r="E7" s="117">
        <f t="shared" si="2"/>
        <v>1.1634377363895305</v>
      </c>
      <c r="G7" s="99">
        <v>3</v>
      </c>
      <c r="H7" s="88">
        <v>3</v>
      </c>
      <c r="I7" s="88">
        <v>3</v>
      </c>
      <c r="J7">
        <v>1</v>
      </c>
      <c r="L7" s="99" t="s">
        <v>600</v>
      </c>
      <c r="M7" s="96">
        <v>3</v>
      </c>
      <c r="N7" s="99" t="s">
        <v>600</v>
      </c>
      <c r="O7" s="97">
        <v>3</v>
      </c>
      <c r="P7" s="101"/>
      <c r="Q7" s="101"/>
    </row>
    <row r="8" spans="1:17" x14ac:dyDescent="0.25">
      <c r="A8" s="102">
        <f t="shared" si="0"/>
        <v>0.53270682643332834</v>
      </c>
      <c r="B8" s="103">
        <f t="shared" si="0"/>
        <v>145.59</v>
      </c>
      <c r="C8" s="115">
        <v>4</v>
      </c>
      <c r="D8" s="115">
        <f t="shared" si="1"/>
        <v>50</v>
      </c>
      <c r="E8" s="116">
        <f t="shared" si="2"/>
        <v>1.4190745276365266</v>
      </c>
      <c r="G8" s="99">
        <v>4</v>
      </c>
      <c r="H8" s="88">
        <v>2</v>
      </c>
      <c r="I8" s="88">
        <v>2</v>
      </c>
      <c r="J8">
        <v>1</v>
      </c>
      <c r="L8" s="99" t="s">
        <v>621</v>
      </c>
      <c r="M8" s="96">
        <v>2</v>
      </c>
      <c r="N8" s="99" t="s">
        <v>622</v>
      </c>
      <c r="O8" s="97">
        <v>2</v>
      </c>
      <c r="P8" s="101"/>
      <c r="Q8" s="101"/>
    </row>
    <row r="9" spans="1:17" x14ac:dyDescent="0.25">
      <c r="A9" s="102">
        <f t="shared" si="0"/>
        <v>0.53270682643332834</v>
      </c>
      <c r="B9" s="103">
        <f t="shared" si="0"/>
        <v>145.59</v>
      </c>
      <c r="C9" s="89">
        <v>5</v>
      </c>
      <c r="D9" s="89">
        <f t="shared" si="1"/>
        <v>50</v>
      </c>
      <c r="E9" s="90">
        <f t="shared" si="2"/>
        <v>1.674711318883523</v>
      </c>
      <c r="G9" s="99">
        <v>5</v>
      </c>
      <c r="H9" s="88">
        <v>2</v>
      </c>
      <c r="I9" s="88">
        <v>2</v>
      </c>
      <c r="J9">
        <v>1</v>
      </c>
      <c r="L9" s="100" t="s">
        <v>623</v>
      </c>
      <c r="M9" s="96">
        <v>1</v>
      </c>
      <c r="N9" s="100" t="s">
        <v>624</v>
      </c>
      <c r="O9" s="97">
        <v>1</v>
      </c>
      <c r="P9" s="101"/>
      <c r="Q9" s="101"/>
    </row>
    <row r="10" spans="1:17" x14ac:dyDescent="0.25">
      <c r="A10" s="102">
        <f t="shared" si="0"/>
        <v>0.53270682643332834</v>
      </c>
      <c r="B10" s="103">
        <f t="shared" si="0"/>
        <v>145.59</v>
      </c>
      <c r="C10" s="115">
        <v>6</v>
      </c>
      <c r="D10" s="115">
        <f t="shared" si="1"/>
        <v>50</v>
      </c>
      <c r="E10" s="116">
        <f t="shared" si="2"/>
        <v>1.9303481101305191</v>
      </c>
      <c r="G10" s="99">
        <v>6</v>
      </c>
      <c r="H10" s="88">
        <v>2</v>
      </c>
      <c r="I10" s="88">
        <v>2</v>
      </c>
      <c r="J10">
        <v>1</v>
      </c>
      <c r="L10" s="101"/>
      <c r="M10" s="101"/>
      <c r="N10" s="99"/>
      <c r="O10" s="101"/>
      <c r="P10" s="101"/>
      <c r="Q10" s="101"/>
    </row>
    <row r="11" spans="1:17" x14ac:dyDescent="0.25">
      <c r="A11" s="102">
        <f t="shared" si="0"/>
        <v>0.53270682643332834</v>
      </c>
      <c r="B11" s="103">
        <f t="shared" si="0"/>
        <v>145.59</v>
      </c>
      <c r="C11" s="99">
        <v>7</v>
      </c>
      <c r="D11" s="99">
        <f t="shared" si="1"/>
        <v>50</v>
      </c>
      <c r="E11" s="104">
        <f t="shared" si="2"/>
        <v>2.1859849013775152</v>
      </c>
      <c r="G11" s="99">
        <v>7</v>
      </c>
      <c r="H11" s="88">
        <v>2</v>
      </c>
      <c r="I11" s="88">
        <v>2</v>
      </c>
      <c r="J11">
        <v>1</v>
      </c>
      <c r="L11" s="101"/>
      <c r="M11" s="101"/>
      <c r="N11" s="99"/>
      <c r="O11" s="101"/>
      <c r="P11" s="101"/>
      <c r="Q11" s="101"/>
    </row>
    <row r="12" spans="1:17" x14ac:dyDescent="0.25">
      <c r="A12" s="102">
        <f t="shared" si="0"/>
        <v>0.53270682643332834</v>
      </c>
      <c r="B12" s="103">
        <f t="shared" si="0"/>
        <v>145.59</v>
      </c>
      <c r="C12" s="99">
        <v>8</v>
      </c>
      <c r="D12" s="99">
        <f t="shared" si="1"/>
        <v>50</v>
      </c>
      <c r="E12" s="104">
        <f t="shared" si="2"/>
        <v>2.4416216926245116</v>
      </c>
      <c r="G12" s="99">
        <v>8</v>
      </c>
      <c r="H12" s="88">
        <v>2</v>
      </c>
      <c r="I12" s="88">
        <v>1</v>
      </c>
      <c r="J12">
        <v>1</v>
      </c>
      <c r="L12" s="101"/>
      <c r="M12" s="101"/>
      <c r="N12" s="99"/>
      <c r="O12" s="101"/>
      <c r="P12" s="101"/>
      <c r="Q12" s="101"/>
    </row>
    <row r="13" spans="1:17" x14ac:dyDescent="0.25">
      <c r="A13" s="102">
        <f t="shared" si="0"/>
        <v>0.53270682643332834</v>
      </c>
      <c r="B13" s="103">
        <f t="shared" si="0"/>
        <v>145.59</v>
      </c>
      <c r="C13" s="89">
        <v>9</v>
      </c>
      <c r="D13" s="89">
        <f t="shared" si="1"/>
        <v>50</v>
      </c>
      <c r="E13" s="90">
        <f t="shared" si="2"/>
        <v>2.6972584838715079</v>
      </c>
      <c r="G13" s="99">
        <v>9</v>
      </c>
      <c r="H13" s="88">
        <v>2</v>
      </c>
      <c r="I13" s="88">
        <v>1</v>
      </c>
      <c r="J13">
        <v>1</v>
      </c>
      <c r="L13" s="101"/>
      <c r="M13" s="101"/>
      <c r="N13" s="99"/>
      <c r="O13" s="101"/>
      <c r="P13" s="101"/>
      <c r="Q13" s="101"/>
    </row>
    <row r="14" spans="1:17" x14ac:dyDescent="0.25">
      <c r="A14" s="102">
        <f t="shared" si="0"/>
        <v>0.53270682643332834</v>
      </c>
      <c r="B14" s="103">
        <f t="shared" si="0"/>
        <v>145.59</v>
      </c>
      <c r="C14" s="99">
        <v>10</v>
      </c>
      <c r="D14" s="99">
        <f t="shared" si="1"/>
        <v>50</v>
      </c>
      <c r="E14" s="104">
        <f t="shared" si="2"/>
        <v>2.9528952751185042</v>
      </c>
      <c r="G14" s="99">
        <v>10</v>
      </c>
      <c r="H14" s="88">
        <v>1</v>
      </c>
      <c r="I14" s="88">
        <v>1</v>
      </c>
      <c r="J14">
        <v>1</v>
      </c>
      <c r="L14" s="101"/>
      <c r="M14" s="101"/>
      <c r="N14" s="99"/>
      <c r="O14" s="101"/>
      <c r="P14" s="101"/>
      <c r="Q14" s="101"/>
    </row>
    <row r="15" spans="1:17" x14ac:dyDescent="0.25">
      <c r="A15" s="102">
        <f t="shared" si="0"/>
        <v>0.53270682643332834</v>
      </c>
      <c r="B15" s="103">
        <f t="shared" si="0"/>
        <v>145.59</v>
      </c>
      <c r="C15" s="99">
        <v>11</v>
      </c>
      <c r="D15" s="99">
        <f t="shared" si="1"/>
        <v>50</v>
      </c>
      <c r="E15" s="104">
        <f t="shared" si="2"/>
        <v>3.2085320663655006</v>
      </c>
      <c r="G15" s="99">
        <v>11</v>
      </c>
      <c r="H15" s="88">
        <v>1</v>
      </c>
      <c r="I15" s="88">
        <v>1</v>
      </c>
      <c r="J15">
        <v>1</v>
      </c>
      <c r="L15" s="101"/>
      <c r="M15" s="101"/>
      <c r="N15" s="99"/>
      <c r="O15" s="101"/>
      <c r="P15" s="101"/>
      <c r="Q15" s="101"/>
    </row>
    <row r="16" spans="1:17" x14ac:dyDescent="0.25">
      <c r="A16" s="102">
        <f t="shared" si="0"/>
        <v>0.53270682643332834</v>
      </c>
      <c r="B16" s="103">
        <f t="shared" si="0"/>
        <v>145.59</v>
      </c>
      <c r="C16" s="99">
        <v>12</v>
      </c>
      <c r="D16" s="99">
        <f t="shared" si="1"/>
        <v>50</v>
      </c>
      <c r="E16" s="104">
        <f t="shared" si="2"/>
        <v>3.4641688576124969</v>
      </c>
      <c r="G16" s="99">
        <v>12</v>
      </c>
      <c r="H16" s="88">
        <v>1</v>
      </c>
      <c r="I16" s="88">
        <v>1</v>
      </c>
      <c r="J16">
        <v>1</v>
      </c>
      <c r="L16" s="101"/>
      <c r="M16" s="101"/>
      <c r="N16" s="99"/>
      <c r="O16" s="101"/>
      <c r="P16" s="101"/>
      <c r="Q16" s="101"/>
    </row>
    <row r="17" spans="1:17" x14ac:dyDescent="0.25">
      <c r="A17" s="102">
        <f t="shared" si="0"/>
        <v>0.53270682643332834</v>
      </c>
      <c r="B17" s="103">
        <f t="shared" si="0"/>
        <v>145.59</v>
      </c>
      <c r="C17" s="99">
        <v>13</v>
      </c>
      <c r="D17" s="99">
        <f t="shared" si="1"/>
        <v>50</v>
      </c>
      <c r="E17" s="104">
        <f t="shared" si="2"/>
        <v>3.7198056488594928</v>
      </c>
      <c r="G17" s="99">
        <v>13</v>
      </c>
      <c r="H17" s="88">
        <v>1</v>
      </c>
      <c r="I17" s="88">
        <v>1</v>
      </c>
      <c r="J17">
        <v>1</v>
      </c>
      <c r="L17" s="101"/>
      <c r="M17" s="101"/>
      <c r="N17" s="99"/>
      <c r="O17" s="101"/>
      <c r="P17" s="101"/>
      <c r="Q17" s="101"/>
    </row>
    <row r="18" spans="1:17" x14ac:dyDescent="0.25">
      <c r="A18" s="102">
        <f t="shared" si="0"/>
        <v>0.53270682643332834</v>
      </c>
      <c r="B18" s="103">
        <f t="shared" si="0"/>
        <v>145.59</v>
      </c>
      <c r="C18" s="99">
        <v>14</v>
      </c>
      <c r="D18" s="99">
        <f t="shared" si="1"/>
        <v>50</v>
      </c>
      <c r="E18" s="104">
        <f t="shared" si="2"/>
        <v>3.9754424401064892</v>
      </c>
      <c r="G18" s="99">
        <v>14</v>
      </c>
      <c r="H18" s="88">
        <v>1</v>
      </c>
      <c r="I18" s="88">
        <v>1</v>
      </c>
      <c r="J18">
        <v>1</v>
      </c>
      <c r="L18" s="101"/>
      <c r="M18" s="101"/>
      <c r="N18" s="100"/>
      <c r="O18" s="101"/>
      <c r="P18" s="101"/>
      <c r="Q18" s="101"/>
    </row>
    <row r="19" spans="1:17" x14ac:dyDescent="0.25">
      <c r="A19" s="102">
        <f t="shared" si="0"/>
        <v>0.53270682643332834</v>
      </c>
      <c r="B19" s="103">
        <f t="shared" si="0"/>
        <v>145.59</v>
      </c>
      <c r="C19" s="99">
        <v>15</v>
      </c>
      <c r="D19" s="99">
        <f t="shared" si="1"/>
        <v>50</v>
      </c>
      <c r="E19" s="104">
        <f t="shared" si="2"/>
        <v>4.231079231353486</v>
      </c>
      <c r="G19" s="99">
        <v>15</v>
      </c>
      <c r="H19" s="88">
        <v>1</v>
      </c>
      <c r="I19" s="88">
        <v>1</v>
      </c>
      <c r="J19">
        <v>1</v>
      </c>
    </row>
    <row r="20" spans="1:17" x14ac:dyDescent="0.25">
      <c r="A20" s="102">
        <f t="shared" si="0"/>
        <v>0.53270682643332834</v>
      </c>
      <c r="B20" s="103">
        <f t="shared" si="0"/>
        <v>145.59</v>
      </c>
      <c r="C20" s="99">
        <v>16</v>
      </c>
      <c r="D20" s="99">
        <f t="shared" si="1"/>
        <v>50</v>
      </c>
      <c r="E20" s="104">
        <f t="shared" si="2"/>
        <v>4.4867160226004819</v>
      </c>
      <c r="G20" s="99">
        <v>16</v>
      </c>
      <c r="H20" s="88">
        <v>1</v>
      </c>
      <c r="I20" s="88">
        <v>1</v>
      </c>
      <c r="J20">
        <v>1</v>
      </c>
    </row>
    <row r="21" spans="1:17" x14ac:dyDescent="0.25">
      <c r="A21" s="102">
        <f t="shared" si="0"/>
        <v>0.53270682643332834</v>
      </c>
      <c r="B21" s="103">
        <f t="shared" si="0"/>
        <v>145.59</v>
      </c>
      <c r="C21" s="99">
        <v>17</v>
      </c>
      <c r="D21" s="99">
        <f t="shared" si="1"/>
        <v>50</v>
      </c>
      <c r="E21" s="104">
        <f t="shared" si="2"/>
        <v>4.7423528138474778</v>
      </c>
      <c r="G21" s="99">
        <v>17</v>
      </c>
      <c r="H21" s="88">
        <v>1</v>
      </c>
      <c r="I21" s="88">
        <v>1</v>
      </c>
      <c r="J21">
        <v>1</v>
      </c>
    </row>
    <row r="22" spans="1:17" x14ac:dyDescent="0.25">
      <c r="A22" s="102">
        <f t="shared" si="0"/>
        <v>0.53270682643332834</v>
      </c>
      <c r="B22" s="103">
        <f t="shared" si="0"/>
        <v>145.59</v>
      </c>
      <c r="C22" s="99">
        <v>18</v>
      </c>
      <c r="D22" s="99">
        <f t="shared" si="1"/>
        <v>50</v>
      </c>
      <c r="E22" s="104">
        <f t="shared" si="2"/>
        <v>4.9979896050944745</v>
      </c>
      <c r="G22" s="99">
        <v>18</v>
      </c>
      <c r="H22" s="88">
        <v>1</v>
      </c>
      <c r="I22" s="88">
        <v>1</v>
      </c>
      <c r="J22">
        <v>1</v>
      </c>
    </row>
    <row r="23" spans="1:17" x14ac:dyDescent="0.25">
      <c r="A23" s="102">
        <f t="shared" si="0"/>
        <v>0.53270682643332834</v>
      </c>
      <c r="B23" s="103">
        <f t="shared" si="0"/>
        <v>145.59</v>
      </c>
      <c r="C23" s="99">
        <v>19</v>
      </c>
      <c r="D23" s="99">
        <f t="shared" si="1"/>
        <v>50</v>
      </c>
      <c r="E23" s="104">
        <f t="shared" si="2"/>
        <v>5.2536263963414704</v>
      </c>
      <c r="G23" s="99">
        <v>19</v>
      </c>
      <c r="H23" s="88">
        <v>1</v>
      </c>
      <c r="I23" s="88">
        <v>1</v>
      </c>
      <c r="J23">
        <v>1</v>
      </c>
    </row>
    <row r="24" spans="1:17" x14ac:dyDescent="0.25">
      <c r="A24" s="102">
        <f t="shared" si="0"/>
        <v>0.53270682643332834</v>
      </c>
      <c r="B24" s="103">
        <f t="shared" si="0"/>
        <v>145.59</v>
      </c>
      <c r="C24" s="99">
        <v>20</v>
      </c>
      <c r="D24" s="99">
        <f t="shared" si="1"/>
        <v>50</v>
      </c>
      <c r="E24" s="104">
        <f t="shared" si="2"/>
        <v>5.5092631875884672</v>
      </c>
      <c r="G24" s="99">
        <v>20</v>
      </c>
      <c r="H24" s="88">
        <v>1</v>
      </c>
      <c r="I24" s="88">
        <v>1</v>
      </c>
      <c r="J24">
        <v>1</v>
      </c>
    </row>
    <row r="25" spans="1:17" x14ac:dyDescent="0.25">
      <c r="A25" s="102">
        <f t="shared" si="0"/>
        <v>0.53270682643332834</v>
      </c>
      <c r="B25" s="103">
        <f t="shared" si="0"/>
        <v>145.59</v>
      </c>
      <c r="C25" s="99">
        <v>21</v>
      </c>
      <c r="D25" s="99">
        <f t="shared" si="1"/>
        <v>50</v>
      </c>
      <c r="E25" s="104">
        <f t="shared" si="2"/>
        <v>5.7648999788354631</v>
      </c>
      <c r="G25" s="99">
        <v>21</v>
      </c>
      <c r="H25" s="88">
        <v>1</v>
      </c>
      <c r="I25" s="88">
        <v>1</v>
      </c>
      <c r="J25">
        <v>1</v>
      </c>
    </row>
    <row r="26" spans="1:17" x14ac:dyDescent="0.25">
      <c r="A26" s="102">
        <f t="shared" si="0"/>
        <v>0.53270682643332834</v>
      </c>
      <c r="B26" s="103">
        <f t="shared" si="0"/>
        <v>145.59</v>
      </c>
      <c r="C26" s="99">
        <v>22</v>
      </c>
      <c r="D26" s="99">
        <f t="shared" si="1"/>
        <v>50</v>
      </c>
      <c r="E26" s="104">
        <f t="shared" si="2"/>
        <v>6.020536770082459</v>
      </c>
      <c r="G26" s="99">
        <v>22</v>
      </c>
      <c r="H26" s="88">
        <v>1</v>
      </c>
      <c r="I26" s="88">
        <v>1</v>
      </c>
      <c r="J26">
        <v>1</v>
      </c>
    </row>
    <row r="27" spans="1:17" x14ac:dyDescent="0.25">
      <c r="A27" s="102">
        <f t="shared" si="0"/>
        <v>0.53270682643332834</v>
      </c>
      <c r="B27" s="103">
        <f t="shared" si="0"/>
        <v>145.59</v>
      </c>
      <c r="C27" s="99">
        <v>23</v>
      </c>
      <c r="D27" s="99">
        <f t="shared" si="1"/>
        <v>50</v>
      </c>
      <c r="E27" s="104">
        <f t="shared" si="2"/>
        <v>6.2761735613294558</v>
      </c>
      <c r="G27" s="99">
        <v>23</v>
      </c>
      <c r="H27" s="88">
        <v>1</v>
      </c>
      <c r="I27" s="88">
        <v>1</v>
      </c>
      <c r="J27">
        <v>1</v>
      </c>
    </row>
    <row r="28" spans="1:17" x14ac:dyDescent="0.25">
      <c r="A28" s="102">
        <f t="shared" si="0"/>
        <v>0.53270682643332834</v>
      </c>
      <c r="B28" s="103">
        <f t="shared" si="0"/>
        <v>145.59</v>
      </c>
      <c r="C28" s="99">
        <v>24</v>
      </c>
      <c r="D28" s="99">
        <f t="shared" si="1"/>
        <v>50</v>
      </c>
      <c r="E28" s="104">
        <f t="shared" si="2"/>
        <v>6.5318103525764517</v>
      </c>
      <c r="G28" s="99">
        <v>24</v>
      </c>
      <c r="H28" s="88">
        <v>1</v>
      </c>
      <c r="I28" s="88">
        <v>1</v>
      </c>
      <c r="J28">
        <v>1</v>
      </c>
    </row>
    <row r="29" spans="1:17" x14ac:dyDescent="0.25">
      <c r="A29" s="102">
        <f t="shared" si="0"/>
        <v>0.53270682643332834</v>
      </c>
      <c r="B29" s="103">
        <f t="shared" si="0"/>
        <v>145.59</v>
      </c>
      <c r="C29" s="99">
        <v>25</v>
      </c>
      <c r="D29" s="99">
        <f t="shared" si="1"/>
        <v>50</v>
      </c>
      <c r="E29" s="104">
        <f t="shared" si="2"/>
        <v>6.7874471438234485</v>
      </c>
      <c r="G29" s="99">
        <v>25</v>
      </c>
      <c r="H29" s="88">
        <v>1</v>
      </c>
      <c r="I29" s="88">
        <v>1</v>
      </c>
      <c r="J29">
        <v>1</v>
      </c>
    </row>
    <row r="30" spans="1:17" x14ac:dyDescent="0.25">
      <c r="A30" s="102">
        <f t="shared" si="0"/>
        <v>0.53270682643332834</v>
      </c>
      <c r="B30" s="103">
        <f t="shared" si="0"/>
        <v>145.59</v>
      </c>
      <c r="C30" s="99">
        <v>26</v>
      </c>
      <c r="D30" s="99">
        <f t="shared" si="1"/>
        <v>50</v>
      </c>
      <c r="E30" s="104">
        <f t="shared" si="2"/>
        <v>7.0430839350704444</v>
      </c>
      <c r="G30" s="99">
        <v>26</v>
      </c>
      <c r="H30" s="88">
        <v>1</v>
      </c>
      <c r="I30" s="88">
        <v>1</v>
      </c>
      <c r="J30">
        <v>1</v>
      </c>
    </row>
    <row r="31" spans="1:17" x14ac:dyDescent="0.25">
      <c r="A31" s="102">
        <f t="shared" ref="A31:B46" si="3">A30</f>
        <v>0.53270682643332834</v>
      </c>
      <c r="B31" s="103">
        <f t="shared" si="3"/>
        <v>145.59</v>
      </c>
      <c r="C31" s="99">
        <v>27</v>
      </c>
      <c r="D31" s="99">
        <f t="shared" si="1"/>
        <v>50</v>
      </c>
      <c r="E31" s="104">
        <f t="shared" si="2"/>
        <v>7.2987207263174403</v>
      </c>
      <c r="G31" s="99">
        <v>27</v>
      </c>
      <c r="H31" s="88">
        <v>1</v>
      </c>
      <c r="I31" s="88">
        <v>1</v>
      </c>
      <c r="J31">
        <v>1</v>
      </c>
    </row>
    <row r="32" spans="1:17" x14ac:dyDescent="0.25">
      <c r="A32" s="102">
        <f t="shared" si="3"/>
        <v>0.53270682643332834</v>
      </c>
      <c r="B32" s="103">
        <f t="shared" si="3"/>
        <v>145.59</v>
      </c>
      <c r="C32" s="99">
        <v>28</v>
      </c>
      <c r="D32" s="99">
        <f t="shared" si="1"/>
        <v>50</v>
      </c>
      <c r="E32" s="104">
        <f t="shared" si="2"/>
        <v>7.5543575175644371</v>
      </c>
      <c r="G32" s="99">
        <v>28</v>
      </c>
      <c r="H32" s="88">
        <v>1</v>
      </c>
      <c r="I32" s="88">
        <v>1</v>
      </c>
      <c r="J32">
        <v>1</v>
      </c>
    </row>
    <row r="33" spans="1:10" x14ac:dyDescent="0.25">
      <c r="A33" s="102">
        <f t="shared" si="3"/>
        <v>0.53270682643332834</v>
      </c>
      <c r="B33" s="103">
        <f t="shared" si="3"/>
        <v>145.59</v>
      </c>
      <c r="C33" s="99">
        <v>29</v>
      </c>
      <c r="D33" s="99">
        <f t="shared" si="1"/>
        <v>50</v>
      </c>
      <c r="E33" s="104">
        <f t="shared" si="2"/>
        <v>7.809994308811433</v>
      </c>
      <c r="G33" s="99">
        <v>29</v>
      </c>
      <c r="H33" s="88">
        <v>1</v>
      </c>
      <c r="I33" s="88">
        <v>1</v>
      </c>
      <c r="J33">
        <v>1</v>
      </c>
    </row>
    <row r="34" spans="1:10" x14ac:dyDescent="0.25">
      <c r="A34" s="102">
        <f t="shared" si="3"/>
        <v>0.53270682643332834</v>
      </c>
      <c r="B34" s="103">
        <f t="shared" si="3"/>
        <v>145.59</v>
      </c>
      <c r="C34" s="99">
        <v>30</v>
      </c>
      <c r="D34" s="99">
        <f t="shared" si="1"/>
        <v>50</v>
      </c>
      <c r="E34" s="104">
        <f t="shared" si="2"/>
        <v>8.0656311000584289</v>
      </c>
      <c r="G34" s="99">
        <v>30</v>
      </c>
      <c r="H34" s="88">
        <v>1</v>
      </c>
      <c r="I34" s="88">
        <v>1</v>
      </c>
      <c r="J34">
        <v>1</v>
      </c>
    </row>
    <row r="35" spans="1:10" x14ac:dyDescent="0.25">
      <c r="A35" s="102">
        <f t="shared" si="3"/>
        <v>0.53270682643332834</v>
      </c>
      <c r="B35" s="103">
        <f t="shared" si="3"/>
        <v>145.59</v>
      </c>
      <c r="C35" s="99">
        <v>31</v>
      </c>
      <c r="D35" s="99">
        <f t="shared" si="1"/>
        <v>50</v>
      </c>
      <c r="E35" s="104">
        <f t="shared" si="2"/>
        <v>8.3212678913054265</v>
      </c>
      <c r="G35" s="99">
        <v>40</v>
      </c>
      <c r="H35" s="88">
        <v>1</v>
      </c>
      <c r="I35" s="88">
        <v>1</v>
      </c>
      <c r="J35">
        <v>1</v>
      </c>
    </row>
    <row r="36" spans="1:10" x14ac:dyDescent="0.25">
      <c r="A36" s="102">
        <f t="shared" si="3"/>
        <v>0.53270682643332834</v>
      </c>
      <c r="B36" s="103">
        <f t="shared" si="3"/>
        <v>145.59</v>
      </c>
      <c r="C36" s="99">
        <v>32</v>
      </c>
      <c r="D36" s="99">
        <f t="shared" si="1"/>
        <v>50</v>
      </c>
      <c r="E36" s="104">
        <f t="shared" si="2"/>
        <v>8.5769046825524224</v>
      </c>
      <c r="G36" s="99">
        <v>50</v>
      </c>
      <c r="H36" s="88">
        <v>1</v>
      </c>
      <c r="I36" s="88">
        <v>1</v>
      </c>
      <c r="J36">
        <v>1</v>
      </c>
    </row>
    <row r="37" spans="1:10" x14ac:dyDescent="0.25">
      <c r="A37" s="102">
        <f t="shared" si="3"/>
        <v>0.53270682643332834</v>
      </c>
      <c r="B37" s="103">
        <f t="shared" si="3"/>
        <v>145.59</v>
      </c>
      <c r="C37" s="99">
        <v>33</v>
      </c>
      <c r="D37" s="99">
        <f t="shared" si="1"/>
        <v>50</v>
      </c>
      <c r="E37" s="104">
        <f t="shared" si="2"/>
        <v>8.8325414737994183</v>
      </c>
      <c r="G37" s="99">
        <v>60</v>
      </c>
      <c r="H37" s="88">
        <v>1</v>
      </c>
      <c r="I37" s="88">
        <v>1</v>
      </c>
      <c r="J37">
        <v>1</v>
      </c>
    </row>
    <row r="38" spans="1:10" x14ac:dyDescent="0.25">
      <c r="A38" s="102">
        <f t="shared" si="3"/>
        <v>0.53270682643332834</v>
      </c>
      <c r="B38" s="103">
        <f t="shared" si="3"/>
        <v>145.59</v>
      </c>
      <c r="C38" s="99">
        <v>34</v>
      </c>
      <c r="D38" s="99">
        <f t="shared" si="1"/>
        <v>50</v>
      </c>
      <c r="E38" s="104">
        <f t="shared" si="2"/>
        <v>9.0881782650464142</v>
      </c>
      <c r="G38" s="99">
        <v>70</v>
      </c>
      <c r="H38" s="88">
        <v>1</v>
      </c>
      <c r="I38" s="88">
        <v>1</v>
      </c>
      <c r="J38">
        <v>1</v>
      </c>
    </row>
    <row r="39" spans="1:10" x14ac:dyDescent="0.25">
      <c r="A39" s="102">
        <f t="shared" si="3"/>
        <v>0.53270682643332834</v>
      </c>
      <c r="B39" s="103">
        <f t="shared" si="3"/>
        <v>145.59</v>
      </c>
      <c r="C39" s="99">
        <v>35</v>
      </c>
      <c r="D39" s="99">
        <f t="shared" si="1"/>
        <v>50</v>
      </c>
      <c r="E39" s="104">
        <f t="shared" si="2"/>
        <v>9.3438150562934101</v>
      </c>
      <c r="G39" s="99">
        <v>80</v>
      </c>
      <c r="H39" s="88">
        <v>1</v>
      </c>
      <c r="I39" s="88">
        <v>1</v>
      </c>
      <c r="J39">
        <v>1</v>
      </c>
    </row>
    <row r="40" spans="1:10" x14ac:dyDescent="0.25">
      <c r="A40" s="102">
        <f t="shared" si="3"/>
        <v>0.53270682643332834</v>
      </c>
      <c r="B40" s="103">
        <f t="shared" si="3"/>
        <v>145.59</v>
      </c>
      <c r="C40" s="99">
        <v>36</v>
      </c>
      <c r="D40" s="99">
        <f t="shared" si="1"/>
        <v>50</v>
      </c>
      <c r="E40" s="104">
        <f t="shared" si="2"/>
        <v>9.5994518475404078</v>
      </c>
      <c r="G40" s="99">
        <v>150</v>
      </c>
      <c r="H40" s="88">
        <v>1</v>
      </c>
      <c r="I40" s="88">
        <v>1</v>
      </c>
      <c r="J40">
        <v>1</v>
      </c>
    </row>
    <row r="41" spans="1:10" x14ac:dyDescent="0.25">
      <c r="A41" s="102">
        <f t="shared" si="3"/>
        <v>0.53270682643332834</v>
      </c>
      <c r="B41" s="103">
        <f t="shared" si="3"/>
        <v>145.59</v>
      </c>
      <c r="C41" s="99">
        <v>37</v>
      </c>
      <c r="D41" s="99">
        <f t="shared" si="1"/>
        <v>50</v>
      </c>
      <c r="E41" s="104">
        <f t="shared" si="2"/>
        <v>9.8550886387874037</v>
      </c>
      <c r="G41" s="99">
        <v>200</v>
      </c>
      <c r="H41" s="88">
        <v>1</v>
      </c>
      <c r="I41" s="88">
        <v>1</v>
      </c>
      <c r="J41">
        <v>1</v>
      </c>
    </row>
    <row r="42" spans="1:10" x14ac:dyDescent="0.25">
      <c r="A42" s="102">
        <f t="shared" si="3"/>
        <v>0.53270682643332834</v>
      </c>
      <c r="B42" s="103">
        <f t="shared" si="3"/>
        <v>145.59</v>
      </c>
      <c r="C42" s="99">
        <v>38</v>
      </c>
      <c r="D42" s="99">
        <f t="shared" si="1"/>
        <v>50</v>
      </c>
      <c r="E42" s="104">
        <f t="shared" si="2"/>
        <v>10.1107254300344</v>
      </c>
      <c r="G42" s="99">
        <v>500</v>
      </c>
      <c r="H42" s="88">
        <v>1</v>
      </c>
      <c r="I42" s="88">
        <v>1</v>
      </c>
      <c r="J42">
        <v>1</v>
      </c>
    </row>
    <row r="43" spans="1:10" x14ac:dyDescent="0.25">
      <c r="A43" s="102">
        <f t="shared" si="3"/>
        <v>0.53270682643332834</v>
      </c>
      <c r="B43" s="103">
        <f t="shared" si="3"/>
        <v>145.59</v>
      </c>
      <c r="C43" s="99">
        <v>39</v>
      </c>
      <c r="D43" s="99">
        <f t="shared" si="1"/>
        <v>50</v>
      </c>
      <c r="E43" s="104">
        <f t="shared" si="2"/>
        <v>10.366362221281396</v>
      </c>
    </row>
    <row r="44" spans="1:10" x14ac:dyDescent="0.25">
      <c r="A44" s="102">
        <f t="shared" si="3"/>
        <v>0.53270682643332834</v>
      </c>
      <c r="B44" s="103">
        <f t="shared" si="3"/>
        <v>145.59</v>
      </c>
      <c r="C44" s="99">
        <v>40</v>
      </c>
      <c r="D44" s="99">
        <f t="shared" si="1"/>
        <v>50</v>
      </c>
      <c r="E44" s="104">
        <f t="shared" si="2"/>
        <v>10.621999012528393</v>
      </c>
    </row>
    <row r="45" spans="1:10" x14ac:dyDescent="0.25">
      <c r="A45" s="102">
        <f t="shared" si="3"/>
        <v>0.53270682643332834</v>
      </c>
      <c r="B45" s="103">
        <f t="shared" si="3"/>
        <v>145.59</v>
      </c>
      <c r="C45" s="99">
        <v>41</v>
      </c>
      <c r="D45" s="99">
        <f t="shared" si="1"/>
        <v>50</v>
      </c>
      <c r="E45" s="104">
        <f t="shared" si="2"/>
        <v>10.877635803775389</v>
      </c>
    </row>
    <row r="46" spans="1:10" x14ac:dyDescent="0.25">
      <c r="A46" s="102">
        <f t="shared" si="3"/>
        <v>0.53270682643332834</v>
      </c>
      <c r="B46" s="103">
        <f t="shared" si="3"/>
        <v>145.59</v>
      </c>
      <c r="C46" s="99">
        <v>42</v>
      </c>
      <c r="D46" s="99">
        <f t="shared" si="1"/>
        <v>50</v>
      </c>
      <c r="E46" s="104">
        <f t="shared" si="2"/>
        <v>11.133272595022385</v>
      </c>
    </row>
    <row r="47" spans="1:10" x14ac:dyDescent="0.25">
      <c r="A47" s="102">
        <f t="shared" ref="A47:B73" si="4">A46</f>
        <v>0.53270682643332834</v>
      </c>
      <c r="B47" s="103">
        <f t="shared" si="4"/>
        <v>145.59</v>
      </c>
      <c r="C47" s="99">
        <v>43</v>
      </c>
      <c r="D47" s="99">
        <f t="shared" si="1"/>
        <v>50</v>
      </c>
      <c r="E47" s="104">
        <f t="shared" si="2"/>
        <v>11.388909386269383</v>
      </c>
    </row>
    <row r="48" spans="1:10" x14ac:dyDescent="0.25">
      <c r="A48" s="102">
        <f t="shared" si="4"/>
        <v>0.53270682643332834</v>
      </c>
      <c r="B48" s="103">
        <f t="shared" si="4"/>
        <v>145.59</v>
      </c>
      <c r="C48" s="99">
        <v>44</v>
      </c>
      <c r="D48" s="99">
        <f t="shared" si="1"/>
        <v>50</v>
      </c>
      <c r="E48" s="104">
        <f t="shared" si="2"/>
        <v>11.644546177516379</v>
      </c>
    </row>
    <row r="49" spans="1:5" x14ac:dyDescent="0.25">
      <c r="A49" s="102">
        <f t="shared" si="4"/>
        <v>0.53270682643332834</v>
      </c>
      <c r="B49" s="103">
        <f t="shared" si="4"/>
        <v>145.59</v>
      </c>
      <c r="C49" s="99">
        <v>45</v>
      </c>
      <c r="D49" s="99">
        <f t="shared" si="1"/>
        <v>50</v>
      </c>
      <c r="E49" s="104">
        <f t="shared" si="2"/>
        <v>11.900182968763374</v>
      </c>
    </row>
    <row r="50" spans="1:5" x14ac:dyDescent="0.25">
      <c r="A50" s="102">
        <f t="shared" si="4"/>
        <v>0.53270682643332834</v>
      </c>
      <c r="B50" s="103">
        <f t="shared" si="4"/>
        <v>145.59</v>
      </c>
      <c r="C50" s="99">
        <v>46</v>
      </c>
      <c r="D50" s="99">
        <f t="shared" si="1"/>
        <v>50</v>
      </c>
      <c r="E50" s="104">
        <f t="shared" si="2"/>
        <v>12.15581976001037</v>
      </c>
    </row>
    <row r="51" spans="1:5" x14ac:dyDescent="0.25">
      <c r="A51" s="102">
        <f t="shared" si="4"/>
        <v>0.53270682643332834</v>
      </c>
      <c r="B51" s="103">
        <f t="shared" si="4"/>
        <v>145.59</v>
      </c>
      <c r="C51" s="99">
        <v>47</v>
      </c>
      <c r="D51" s="99">
        <f t="shared" si="1"/>
        <v>50</v>
      </c>
      <c r="E51" s="104">
        <f t="shared" si="2"/>
        <v>12.411456551257366</v>
      </c>
    </row>
    <row r="52" spans="1:5" x14ac:dyDescent="0.25">
      <c r="A52" s="102">
        <f t="shared" si="4"/>
        <v>0.53270682643332834</v>
      </c>
      <c r="B52" s="103">
        <f t="shared" si="4"/>
        <v>145.59</v>
      </c>
      <c r="C52" s="99">
        <v>48</v>
      </c>
      <c r="D52" s="99">
        <f t="shared" si="1"/>
        <v>50</v>
      </c>
      <c r="E52" s="104">
        <f t="shared" si="2"/>
        <v>12.667093342504364</v>
      </c>
    </row>
    <row r="53" spans="1:5" x14ac:dyDescent="0.25">
      <c r="A53" s="102">
        <f t="shared" si="4"/>
        <v>0.53270682643332834</v>
      </c>
      <c r="B53" s="103">
        <f t="shared" si="4"/>
        <v>145.59</v>
      </c>
      <c r="C53" s="99">
        <v>49</v>
      </c>
      <c r="D53" s="99">
        <f t="shared" si="1"/>
        <v>50</v>
      </c>
      <c r="E53" s="104">
        <f t="shared" si="2"/>
        <v>12.92273013375136</v>
      </c>
    </row>
    <row r="54" spans="1:5" x14ac:dyDescent="0.25">
      <c r="A54" s="102">
        <f t="shared" si="4"/>
        <v>0.53270682643332834</v>
      </c>
      <c r="B54" s="103">
        <f t="shared" si="4"/>
        <v>145.59</v>
      </c>
      <c r="C54" s="99">
        <v>50</v>
      </c>
      <c r="D54" s="99">
        <f t="shared" si="1"/>
        <v>50</v>
      </c>
      <c r="E54" s="104">
        <f t="shared" si="2"/>
        <v>13.178366924998356</v>
      </c>
    </row>
    <row r="55" spans="1:5" x14ac:dyDescent="0.25">
      <c r="A55" s="102">
        <f t="shared" si="4"/>
        <v>0.53270682643332834</v>
      </c>
      <c r="B55" s="103">
        <f t="shared" si="4"/>
        <v>145.59</v>
      </c>
      <c r="C55" s="99">
        <v>51</v>
      </c>
      <c r="D55" s="99">
        <f t="shared" si="1"/>
        <v>50</v>
      </c>
      <c r="E55" s="104">
        <f t="shared" si="2"/>
        <v>13.434003716245352</v>
      </c>
    </row>
    <row r="56" spans="1:5" x14ac:dyDescent="0.25">
      <c r="A56" s="102">
        <f t="shared" si="4"/>
        <v>0.53270682643332834</v>
      </c>
      <c r="B56" s="103">
        <f t="shared" si="4"/>
        <v>145.59</v>
      </c>
      <c r="C56" s="99">
        <v>52</v>
      </c>
      <c r="D56" s="99">
        <f t="shared" si="1"/>
        <v>50</v>
      </c>
      <c r="E56" s="104">
        <f t="shared" si="2"/>
        <v>13.689640507492349</v>
      </c>
    </row>
    <row r="57" spans="1:5" x14ac:dyDescent="0.25">
      <c r="A57" s="102">
        <f t="shared" si="4"/>
        <v>0.53270682643332834</v>
      </c>
      <c r="B57" s="103">
        <f t="shared" si="4"/>
        <v>145.59</v>
      </c>
      <c r="C57" s="99">
        <v>53</v>
      </c>
      <c r="D57" s="99">
        <f t="shared" si="1"/>
        <v>50</v>
      </c>
      <c r="E57" s="104">
        <f t="shared" si="2"/>
        <v>13.945277298739345</v>
      </c>
    </row>
    <row r="58" spans="1:5" x14ac:dyDescent="0.25">
      <c r="A58" s="102">
        <f t="shared" si="4"/>
        <v>0.53270682643332834</v>
      </c>
      <c r="B58" s="103">
        <f t="shared" si="4"/>
        <v>145.59</v>
      </c>
      <c r="C58" s="99">
        <v>54</v>
      </c>
      <c r="D58" s="99">
        <f t="shared" si="1"/>
        <v>50</v>
      </c>
      <c r="E58" s="104">
        <f t="shared" si="2"/>
        <v>14.200914089986341</v>
      </c>
    </row>
    <row r="59" spans="1:5" x14ac:dyDescent="0.25">
      <c r="A59" s="102">
        <f t="shared" si="4"/>
        <v>0.53270682643332834</v>
      </c>
      <c r="B59" s="103">
        <f t="shared" si="4"/>
        <v>145.59</v>
      </c>
      <c r="C59" s="99">
        <v>55</v>
      </c>
      <c r="D59" s="99">
        <f t="shared" si="1"/>
        <v>50</v>
      </c>
      <c r="E59" s="104">
        <f t="shared" si="2"/>
        <v>14.456550881233337</v>
      </c>
    </row>
    <row r="60" spans="1:5" x14ac:dyDescent="0.25">
      <c r="A60" s="102">
        <f t="shared" si="4"/>
        <v>0.53270682643332834</v>
      </c>
      <c r="B60" s="103">
        <f t="shared" si="4"/>
        <v>145.59</v>
      </c>
      <c r="C60" s="99">
        <v>56</v>
      </c>
      <c r="D60" s="99">
        <f t="shared" si="1"/>
        <v>50</v>
      </c>
      <c r="E60" s="104">
        <f t="shared" si="2"/>
        <v>14.712187672480333</v>
      </c>
    </row>
    <row r="61" spans="1:5" x14ac:dyDescent="0.25">
      <c r="A61" s="102">
        <f t="shared" si="4"/>
        <v>0.53270682643332834</v>
      </c>
      <c r="B61" s="103">
        <f t="shared" si="4"/>
        <v>145.59</v>
      </c>
      <c r="C61" s="99">
        <v>57</v>
      </c>
      <c r="D61" s="99">
        <f t="shared" si="1"/>
        <v>50</v>
      </c>
      <c r="E61" s="104">
        <f t="shared" si="2"/>
        <v>14.967824463727331</v>
      </c>
    </row>
    <row r="62" spans="1:5" x14ac:dyDescent="0.25">
      <c r="A62" s="102">
        <f t="shared" si="4"/>
        <v>0.53270682643332834</v>
      </c>
      <c r="B62" s="103">
        <f t="shared" si="4"/>
        <v>145.59</v>
      </c>
      <c r="C62" s="99">
        <v>58</v>
      </c>
      <c r="D62" s="99">
        <f t="shared" si="1"/>
        <v>50</v>
      </c>
      <c r="E62" s="104">
        <f t="shared" si="2"/>
        <v>15.223461254974326</v>
      </c>
    </row>
    <row r="63" spans="1:5" x14ac:dyDescent="0.25">
      <c r="A63" s="102">
        <f t="shared" si="4"/>
        <v>0.53270682643332834</v>
      </c>
      <c r="B63" s="103">
        <f t="shared" si="4"/>
        <v>145.59</v>
      </c>
      <c r="C63" s="99">
        <v>59</v>
      </c>
      <c r="D63" s="99">
        <f t="shared" si="1"/>
        <v>50</v>
      </c>
      <c r="E63" s="104">
        <f t="shared" si="2"/>
        <v>15.479098046221322</v>
      </c>
    </row>
    <row r="64" spans="1:5" x14ac:dyDescent="0.25">
      <c r="A64" s="102">
        <f t="shared" si="4"/>
        <v>0.53270682643332834</v>
      </c>
      <c r="B64" s="103">
        <f t="shared" si="4"/>
        <v>145.59</v>
      </c>
      <c r="C64" s="99">
        <v>60</v>
      </c>
      <c r="D64" s="99">
        <f t="shared" si="1"/>
        <v>50</v>
      </c>
      <c r="E64" s="104">
        <f t="shared" si="2"/>
        <v>15.734734837468318</v>
      </c>
    </row>
    <row r="65" spans="1:5" x14ac:dyDescent="0.25">
      <c r="A65" s="102">
        <f t="shared" si="4"/>
        <v>0.53270682643332834</v>
      </c>
      <c r="B65" s="103">
        <f t="shared" si="4"/>
        <v>145.59</v>
      </c>
      <c r="C65" s="99">
        <v>61</v>
      </c>
      <c r="D65" s="99">
        <f t="shared" si="1"/>
        <v>50</v>
      </c>
      <c r="E65" s="104">
        <f t="shared" si="2"/>
        <v>15.990371628715314</v>
      </c>
    </row>
    <row r="66" spans="1:5" x14ac:dyDescent="0.25">
      <c r="A66" s="102">
        <f t="shared" si="4"/>
        <v>0.53270682643332834</v>
      </c>
      <c r="B66" s="103">
        <f t="shared" si="4"/>
        <v>145.59</v>
      </c>
      <c r="C66" s="99">
        <v>62</v>
      </c>
      <c r="D66" s="99">
        <f t="shared" si="1"/>
        <v>50</v>
      </c>
      <c r="E66" s="104">
        <f t="shared" si="2"/>
        <v>16.246008419962312</v>
      </c>
    </row>
    <row r="67" spans="1:5" x14ac:dyDescent="0.25">
      <c r="A67" s="102">
        <f t="shared" si="4"/>
        <v>0.53270682643332834</v>
      </c>
      <c r="B67" s="103">
        <f t="shared" si="4"/>
        <v>145.59</v>
      </c>
      <c r="C67" s="99">
        <v>63</v>
      </c>
      <c r="D67" s="99">
        <f t="shared" si="1"/>
        <v>50</v>
      </c>
      <c r="E67" s="104">
        <f t="shared" si="2"/>
        <v>16.501645211209308</v>
      </c>
    </row>
    <row r="68" spans="1:5" x14ac:dyDescent="0.25">
      <c r="A68" s="102">
        <f t="shared" si="4"/>
        <v>0.53270682643332834</v>
      </c>
      <c r="B68" s="103">
        <f t="shared" si="4"/>
        <v>145.59</v>
      </c>
      <c r="C68" s="99">
        <v>64</v>
      </c>
      <c r="D68" s="99">
        <f t="shared" si="1"/>
        <v>50</v>
      </c>
      <c r="E68" s="104">
        <f t="shared" si="2"/>
        <v>16.757282002456304</v>
      </c>
    </row>
    <row r="69" spans="1:5" x14ac:dyDescent="0.25">
      <c r="A69" s="102">
        <f t="shared" si="4"/>
        <v>0.53270682643332834</v>
      </c>
      <c r="B69" s="103">
        <f t="shared" si="4"/>
        <v>145.59</v>
      </c>
      <c r="C69" s="99">
        <v>65</v>
      </c>
      <c r="D69" s="99">
        <f t="shared" si="1"/>
        <v>50</v>
      </c>
      <c r="E69" s="104">
        <f t="shared" si="2"/>
        <v>17.0129187937033</v>
      </c>
    </row>
    <row r="70" spans="1:5" x14ac:dyDescent="0.25">
      <c r="A70" s="102">
        <f t="shared" si="4"/>
        <v>0.53270682643332834</v>
      </c>
      <c r="B70" s="103">
        <f t="shared" si="4"/>
        <v>145.59</v>
      </c>
      <c r="C70" s="99">
        <v>66</v>
      </c>
      <c r="D70" s="99">
        <f t="shared" ref="D70:D79" si="5">D69</f>
        <v>50</v>
      </c>
      <c r="E70" s="104">
        <f t="shared" ref="E70:E79" si="6">((A70*B70)+(C70*D70))/(B70+D70)</f>
        <v>17.268555584950295</v>
      </c>
    </row>
    <row r="71" spans="1:5" x14ac:dyDescent="0.25">
      <c r="A71" s="102">
        <f t="shared" si="4"/>
        <v>0.53270682643332834</v>
      </c>
      <c r="B71" s="103">
        <f t="shared" si="4"/>
        <v>145.59</v>
      </c>
      <c r="C71" s="99">
        <v>67</v>
      </c>
      <c r="D71" s="99">
        <f t="shared" si="5"/>
        <v>50</v>
      </c>
      <c r="E71" s="104">
        <f t="shared" si="6"/>
        <v>17.524192376197291</v>
      </c>
    </row>
    <row r="72" spans="1:5" x14ac:dyDescent="0.25">
      <c r="A72" s="102">
        <f t="shared" si="4"/>
        <v>0.53270682643332834</v>
      </c>
      <c r="B72" s="103">
        <f t="shared" si="4"/>
        <v>145.59</v>
      </c>
      <c r="C72" s="99">
        <v>68</v>
      </c>
      <c r="D72" s="99">
        <f t="shared" si="5"/>
        <v>50</v>
      </c>
      <c r="E72" s="104">
        <f t="shared" si="6"/>
        <v>17.779829167444287</v>
      </c>
    </row>
    <row r="73" spans="1:5" x14ac:dyDescent="0.25">
      <c r="A73" s="102">
        <f t="shared" si="4"/>
        <v>0.53270682643332834</v>
      </c>
      <c r="B73" s="103">
        <f t="shared" si="4"/>
        <v>145.59</v>
      </c>
      <c r="C73" s="99">
        <v>69</v>
      </c>
      <c r="D73" s="99">
        <f t="shared" si="5"/>
        <v>50</v>
      </c>
      <c r="E73" s="104">
        <f t="shared" si="6"/>
        <v>18.035465958691287</v>
      </c>
    </row>
    <row r="74" spans="1:5" x14ac:dyDescent="0.25">
      <c r="A74" s="102">
        <f t="shared" ref="A74:B79" si="7">A73</f>
        <v>0.53270682643332834</v>
      </c>
      <c r="B74" s="103">
        <f t="shared" si="7"/>
        <v>145.59</v>
      </c>
      <c r="C74" s="99">
        <v>70</v>
      </c>
      <c r="D74" s="99">
        <f t="shared" si="5"/>
        <v>50</v>
      </c>
      <c r="E74" s="104">
        <f t="shared" si="6"/>
        <v>18.291102749938283</v>
      </c>
    </row>
    <row r="75" spans="1:5" x14ac:dyDescent="0.25">
      <c r="A75" s="102">
        <f t="shared" si="7"/>
        <v>0.53270682643332834</v>
      </c>
      <c r="B75" s="103">
        <f t="shared" si="7"/>
        <v>145.59</v>
      </c>
      <c r="C75" s="99">
        <v>71</v>
      </c>
      <c r="D75" s="99">
        <f t="shared" si="5"/>
        <v>50</v>
      </c>
      <c r="E75" s="104">
        <f t="shared" si="6"/>
        <v>18.546739541185278</v>
      </c>
    </row>
    <row r="76" spans="1:5" x14ac:dyDescent="0.25">
      <c r="A76" s="102">
        <f t="shared" si="7"/>
        <v>0.53270682643332834</v>
      </c>
      <c r="B76" s="103">
        <f t="shared" si="7"/>
        <v>145.59</v>
      </c>
      <c r="C76" s="99">
        <v>72</v>
      </c>
      <c r="D76" s="99">
        <f t="shared" si="5"/>
        <v>50</v>
      </c>
      <c r="E76" s="104">
        <f t="shared" si="6"/>
        <v>18.802376332432274</v>
      </c>
    </row>
    <row r="77" spans="1:5" x14ac:dyDescent="0.25">
      <c r="A77" s="102">
        <f t="shared" si="7"/>
        <v>0.53270682643332834</v>
      </c>
      <c r="B77" s="103">
        <f t="shared" si="7"/>
        <v>145.59</v>
      </c>
      <c r="C77" s="99">
        <v>73</v>
      </c>
      <c r="D77" s="99">
        <f t="shared" si="5"/>
        <v>50</v>
      </c>
      <c r="E77" s="104">
        <f t="shared" si="6"/>
        <v>19.05801312367927</v>
      </c>
    </row>
    <row r="78" spans="1:5" x14ac:dyDescent="0.25">
      <c r="A78" s="102">
        <f t="shared" si="7"/>
        <v>0.53270682643332834</v>
      </c>
      <c r="B78" s="103">
        <f t="shared" si="7"/>
        <v>145.59</v>
      </c>
      <c r="C78" s="99">
        <v>74</v>
      </c>
      <c r="D78" s="99">
        <f t="shared" si="5"/>
        <v>50</v>
      </c>
      <c r="E78" s="104">
        <f t="shared" si="6"/>
        <v>19.313649914926266</v>
      </c>
    </row>
    <row r="79" spans="1:5" x14ac:dyDescent="0.25">
      <c r="A79" s="102">
        <f t="shared" si="7"/>
        <v>0.53270682643332834</v>
      </c>
      <c r="B79" s="103">
        <f t="shared" si="7"/>
        <v>145.59</v>
      </c>
      <c r="C79" s="99">
        <v>75</v>
      </c>
      <c r="D79" s="99">
        <f t="shared" si="5"/>
        <v>50</v>
      </c>
      <c r="E79" s="104">
        <f t="shared" si="6"/>
        <v>19.569286706173262</v>
      </c>
    </row>
  </sheetData>
  <mergeCells count="5">
    <mergeCell ref="A1:Q1"/>
    <mergeCell ref="A2:E2"/>
    <mergeCell ref="C3:D3"/>
    <mergeCell ref="H3:J3"/>
    <mergeCell ref="L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9985-84C4-4FE1-961C-E90BD67988CD}">
  <sheetPr>
    <tabColor theme="1" tint="4.9989318521683403E-2"/>
  </sheetPr>
  <dimension ref="A1:Q79"/>
  <sheetViews>
    <sheetView workbookViewId="0">
      <selection activeCell="N5" sqref="N5:Q16"/>
    </sheetView>
  </sheetViews>
  <sheetFormatPr baseColWidth="10" defaultColWidth="11.42578125" defaultRowHeight="15" x14ac:dyDescent="0.25"/>
  <cols>
    <col min="1" max="2" width="7.5703125" customWidth="1"/>
    <col min="3" max="4" width="9" customWidth="1"/>
    <col min="5" max="5" width="7.5703125" customWidth="1"/>
    <col min="6" max="6" width="3.85546875" customWidth="1"/>
    <col min="7" max="7" width="10.7109375" style="1" customWidth="1"/>
    <col min="8" max="9" width="4" style="88" customWidth="1"/>
    <col min="10" max="10" width="4" style="1" customWidth="1"/>
    <col min="11" max="11" width="5.140625" customWidth="1"/>
    <col min="12" max="12" width="10.85546875" customWidth="1"/>
    <col min="13" max="17" width="9.140625" customWidth="1"/>
  </cols>
  <sheetData>
    <row r="1" spans="1:17" x14ac:dyDescent="0.25">
      <c r="A1" s="132" t="s">
        <v>586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x14ac:dyDescent="0.25">
      <c r="A2" s="149" t="s">
        <v>65</v>
      </c>
      <c r="B2" s="149"/>
      <c r="C2" s="149"/>
      <c r="D2" s="149"/>
      <c r="E2" s="149"/>
    </row>
    <row r="3" spans="1:17" ht="36.75" customHeight="1" x14ac:dyDescent="0.25">
      <c r="A3" s="110" t="s">
        <v>587</v>
      </c>
      <c r="B3" s="110" t="s">
        <v>580</v>
      </c>
      <c r="C3" s="151" t="s">
        <v>588</v>
      </c>
      <c r="D3" s="151"/>
      <c r="E3" s="111" t="str">
        <f>TEXT(A5,"0,0")</f>
        <v>0,3</v>
      </c>
      <c r="G3" s="108"/>
      <c r="H3" s="152" t="s">
        <v>589</v>
      </c>
      <c r="I3" s="152"/>
      <c r="J3" s="152"/>
      <c r="K3" s="88"/>
      <c r="L3" s="153" t="s">
        <v>625</v>
      </c>
      <c r="M3" s="153"/>
      <c r="N3" s="153"/>
      <c r="O3" s="153"/>
      <c r="P3" s="153"/>
      <c r="Q3" s="153"/>
    </row>
    <row r="4" spans="1:17" s="87" customFormat="1" ht="45" x14ac:dyDescent="0.25">
      <c r="A4" s="112" t="s">
        <v>591</v>
      </c>
      <c r="B4" s="112" t="s">
        <v>592</v>
      </c>
      <c r="C4" s="112" t="s">
        <v>593</v>
      </c>
      <c r="D4" s="112" t="s">
        <v>594</v>
      </c>
      <c r="E4" s="112" t="s">
        <v>595</v>
      </c>
      <c r="G4" s="113" t="s">
        <v>596</v>
      </c>
      <c r="H4" s="109">
        <v>436</v>
      </c>
      <c r="I4" s="109">
        <v>525</v>
      </c>
      <c r="J4" s="109">
        <v>626</v>
      </c>
      <c r="L4" s="95" t="s">
        <v>597</v>
      </c>
      <c r="M4" s="95" t="s">
        <v>557</v>
      </c>
      <c r="N4" s="94" t="s">
        <v>597</v>
      </c>
      <c r="O4" s="94" t="s">
        <v>573</v>
      </c>
      <c r="P4" s="93" t="s">
        <v>597</v>
      </c>
      <c r="Q4" s="93" t="s">
        <v>574</v>
      </c>
    </row>
    <row r="5" spans="1:17" x14ac:dyDescent="0.25">
      <c r="A5" s="105">
        <f>'Estadistico resumen'!Z3</f>
        <v>0.30213513358838356</v>
      </c>
      <c r="B5" s="106">
        <f>'Estadistico resumen'!AB6</f>
        <v>878.08</v>
      </c>
      <c r="C5" s="99">
        <v>1</v>
      </c>
      <c r="D5" s="107">
        <v>25</v>
      </c>
      <c r="E5" s="104">
        <f>((A5*B5)+(C5*D5))/(B5+D5)</f>
        <v>0.32145415478284078</v>
      </c>
      <c r="G5" s="99">
        <v>1</v>
      </c>
      <c r="H5" s="88">
        <v>26</v>
      </c>
      <c r="I5" s="88">
        <v>43</v>
      </c>
      <c r="J5" s="1">
        <v>42</v>
      </c>
      <c r="L5" s="99" t="s">
        <v>598</v>
      </c>
      <c r="M5" s="96">
        <v>26</v>
      </c>
      <c r="N5" s="99" t="s">
        <v>598</v>
      </c>
      <c r="O5" s="97">
        <v>43</v>
      </c>
      <c r="P5" s="99" t="s">
        <v>598</v>
      </c>
      <c r="Q5" s="98">
        <v>42</v>
      </c>
    </row>
    <row r="6" spans="1:17" x14ac:dyDescent="0.25">
      <c r="A6" s="102">
        <f t="shared" ref="A6:B30" si="0">A5</f>
        <v>0.30213513358838356</v>
      </c>
      <c r="B6" s="103">
        <f t="shared" si="0"/>
        <v>878.08</v>
      </c>
      <c r="C6" s="99">
        <v>2</v>
      </c>
      <c r="D6" s="99">
        <f t="shared" ref="D6:D69" si="1">D5</f>
        <v>25</v>
      </c>
      <c r="E6" s="104">
        <f t="shared" ref="E6:E69" si="2">((A6*B6)+(C6*D6))/(B6+D6)</f>
        <v>0.34913719504505453</v>
      </c>
      <c r="G6" s="99">
        <v>2</v>
      </c>
      <c r="H6" s="88">
        <v>13</v>
      </c>
      <c r="I6" s="88">
        <v>22</v>
      </c>
      <c r="J6" s="1">
        <v>21</v>
      </c>
      <c r="L6" s="99" t="s">
        <v>599</v>
      </c>
      <c r="M6" s="96">
        <v>13</v>
      </c>
      <c r="N6" s="99" t="s">
        <v>599</v>
      </c>
      <c r="O6" s="97">
        <v>22</v>
      </c>
      <c r="P6" s="99" t="s">
        <v>599</v>
      </c>
      <c r="Q6" s="98">
        <v>21</v>
      </c>
    </row>
    <row r="7" spans="1:17" x14ac:dyDescent="0.25">
      <c r="A7" s="102">
        <f t="shared" si="0"/>
        <v>0.30213513358838356</v>
      </c>
      <c r="B7" s="103">
        <f t="shared" si="0"/>
        <v>878.08</v>
      </c>
      <c r="C7" s="89">
        <v>3</v>
      </c>
      <c r="D7" s="89">
        <f t="shared" si="1"/>
        <v>25</v>
      </c>
      <c r="E7" s="90">
        <f t="shared" si="2"/>
        <v>0.37682023530726827</v>
      </c>
      <c r="G7" s="99">
        <v>3</v>
      </c>
      <c r="H7" s="88">
        <v>9</v>
      </c>
      <c r="I7" s="88">
        <v>14</v>
      </c>
      <c r="J7" s="1">
        <v>14</v>
      </c>
      <c r="L7" s="99" t="s">
        <v>600</v>
      </c>
      <c r="M7" s="96">
        <v>9</v>
      </c>
      <c r="N7" s="99" t="s">
        <v>600</v>
      </c>
      <c r="O7" s="97">
        <v>14</v>
      </c>
      <c r="P7" s="99" t="s">
        <v>600</v>
      </c>
      <c r="Q7" s="98">
        <v>14</v>
      </c>
    </row>
    <row r="8" spans="1:17" x14ac:dyDescent="0.25">
      <c r="A8" s="102">
        <f t="shared" si="0"/>
        <v>0.30213513358838356</v>
      </c>
      <c r="B8" s="103">
        <f t="shared" si="0"/>
        <v>878.08</v>
      </c>
      <c r="C8" s="98">
        <v>4</v>
      </c>
      <c r="D8" s="98">
        <f t="shared" si="1"/>
        <v>25</v>
      </c>
      <c r="E8" s="117">
        <f t="shared" si="2"/>
        <v>0.40450327556948201</v>
      </c>
      <c r="G8" s="99">
        <v>4</v>
      </c>
      <c r="H8" s="88">
        <v>7</v>
      </c>
      <c r="I8" s="88">
        <v>11</v>
      </c>
      <c r="J8" s="1">
        <v>10</v>
      </c>
      <c r="L8" s="99" t="s">
        <v>601</v>
      </c>
      <c r="M8" s="96">
        <v>7</v>
      </c>
      <c r="N8" s="99" t="s">
        <v>601</v>
      </c>
      <c r="O8" s="97">
        <v>11</v>
      </c>
      <c r="P8" s="99" t="s">
        <v>601</v>
      </c>
      <c r="Q8" s="98">
        <v>10</v>
      </c>
    </row>
    <row r="9" spans="1:17" x14ac:dyDescent="0.25">
      <c r="A9" s="102">
        <f t="shared" si="0"/>
        <v>0.30213513358838356</v>
      </c>
      <c r="B9" s="103">
        <f t="shared" si="0"/>
        <v>878.08</v>
      </c>
      <c r="C9" s="98">
        <v>5</v>
      </c>
      <c r="D9" s="98">
        <f t="shared" si="1"/>
        <v>25</v>
      </c>
      <c r="E9" s="117">
        <f t="shared" si="2"/>
        <v>0.43218631583169581</v>
      </c>
      <c r="G9" s="99">
        <v>5</v>
      </c>
      <c r="H9" s="88">
        <v>6</v>
      </c>
      <c r="I9" s="88">
        <v>9</v>
      </c>
      <c r="J9" s="1">
        <v>8</v>
      </c>
      <c r="L9" s="99" t="s">
        <v>602</v>
      </c>
      <c r="M9" s="96">
        <v>6</v>
      </c>
      <c r="N9" s="99" t="s">
        <v>602</v>
      </c>
      <c r="O9" s="97">
        <v>9</v>
      </c>
      <c r="P9" s="99" t="s">
        <v>602</v>
      </c>
      <c r="Q9" s="98">
        <v>8</v>
      </c>
    </row>
    <row r="10" spans="1:17" x14ac:dyDescent="0.25">
      <c r="A10" s="102">
        <f t="shared" si="0"/>
        <v>0.30213513358838356</v>
      </c>
      <c r="B10" s="103">
        <f t="shared" si="0"/>
        <v>878.08</v>
      </c>
      <c r="C10" s="98">
        <v>6</v>
      </c>
      <c r="D10" s="98">
        <f t="shared" si="1"/>
        <v>25</v>
      </c>
      <c r="E10" s="117">
        <f t="shared" si="2"/>
        <v>0.45986935609390955</v>
      </c>
      <c r="G10" s="99">
        <v>6</v>
      </c>
      <c r="H10" s="88">
        <v>5</v>
      </c>
      <c r="I10" s="88">
        <v>7</v>
      </c>
      <c r="J10" s="1">
        <v>7</v>
      </c>
      <c r="L10" s="99" t="s">
        <v>603</v>
      </c>
      <c r="M10" s="96">
        <v>5</v>
      </c>
      <c r="N10" s="99" t="s">
        <v>603</v>
      </c>
      <c r="O10" s="97">
        <v>7</v>
      </c>
      <c r="P10" s="99" t="s">
        <v>603</v>
      </c>
      <c r="Q10" s="98">
        <v>7</v>
      </c>
    </row>
    <row r="11" spans="1:17" x14ac:dyDescent="0.25">
      <c r="A11" s="102">
        <f t="shared" si="0"/>
        <v>0.30213513358838356</v>
      </c>
      <c r="B11" s="103">
        <f t="shared" si="0"/>
        <v>878.08</v>
      </c>
      <c r="C11" s="98">
        <v>7</v>
      </c>
      <c r="D11" s="98">
        <f t="shared" si="1"/>
        <v>25</v>
      </c>
      <c r="E11" s="117">
        <f t="shared" si="2"/>
        <v>0.4875523963561233</v>
      </c>
      <c r="G11" s="99">
        <v>7</v>
      </c>
      <c r="H11" s="88">
        <v>4</v>
      </c>
      <c r="I11" s="88">
        <v>6</v>
      </c>
      <c r="J11" s="1">
        <v>6</v>
      </c>
      <c r="L11" s="99" t="s">
        <v>604</v>
      </c>
      <c r="M11" s="96">
        <v>4</v>
      </c>
      <c r="N11" s="99" t="s">
        <v>605</v>
      </c>
      <c r="O11" s="97">
        <v>6</v>
      </c>
      <c r="P11" s="99" t="s">
        <v>605</v>
      </c>
      <c r="Q11" s="98">
        <v>6</v>
      </c>
    </row>
    <row r="12" spans="1:17" x14ac:dyDescent="0.25">
      <c r="A12" s="102">
        <f t="shared" si="0"/>
        <v>0.30213513358838356</v>
      </c>
      <c r="B12" s="103">
        <f t="shared" si="0"/>
        <v>878.08</v>
      </c>
      <c r="C12" s="98">
        <v>8</v>
      </c>
      <c r="D12" s="98">
        <f t="shared" si="1"/>
        <v>25</v>
      </c>
      <c r="E12" s="117">
        <f t="shared" si="2"/>
        <v>0.51523543661833704</v>
      </c>
      <c r="G12" s="99">
        <v>8</v>
      </c>
      <c r="H12" s="88">
        <v>4</v>
      </c>
      <c r="I12" s="88">
        <v>5</v>
      </c>
      <c r="J12" s="1">
        <v>5</v>
      </c>
      <c r="L12" s="99" t="s">
        <v>626</v>
      </c>
      <c r="M12" s="96">
        <v>3</v>
      </c>
      <c r="N12" s="99" t="s">
        <v>627</v>
      </c>
      <c r="O12" s="97">
        <v>5</v>
      </c>
      <c r="P12" s="99" t="s">
        <v>627</v>
      </c>
      <c r="Q12" s="98">
        <v>5</v>
      </c>
    </row>
    <row r="13" spans="1:17" x14ac:dyDescent="0.25">
      <c r="A13" s="102">
        <f t="shared" si="0"/>
        <v>0.30213513358838356</v>
      </c>
      <c r="B13" s="103">
        <f t="shared" si="0"/>
        <v>878.08</v>
      </c>
      <c r="C13" s="89">
        <v>9</v>
      </c>
      <c r="D13" s="89">
        <f t="shared" si="1"/>
        <v>25</v>
      </c>
      <c r="E13" s="90">
        <f t="shared" si="2"/>
        <v>0.54291847688055084</v>
      </c>
      <c r="G13" s="99">
        <v>9</v>
      </c>
      <c r="H13" s="88">
        <v>3</v>
      </c>
      <c r="I13" s="88">
        <v>5</v>
      </c>
      <c r="J13" s="1">
        <v>5</v>
      </c>
      <c r="L13" s="99" t="s">
        <v>628</v>
      </c>
      <c r="M13" s="96">
        <v>2</v>
      </c>
      <c r="N13" s="99" t="s">
        <v>629</v>
      </c>
      <c r="O13" s="97">
        <v>4</v>
      </c>
      <c r="P13" s="99" t="s">
        <v>630</v>
      </c>
      <c r="Q13" s="98">
        <v>4</v>
      </c>
    </row>
    <row r="14" spans="1:17" x14ac:dyDescent="0.25">
      <c r="A14" s="102">
        <f t="shared" si="0"/>
        <v>0.30213513358838356</v>
      </c>
      <c r="B14" s="103">
        <f t="shared" si="0"/>
        <v>878.08</v>
      </c>
      <c r="C14" s="98">
        <v>10</v>
      </c>
      <c r="D14" s="98">
        <f t="shared" si="1"/>
        <v>25</v>
      </c>
      <c r="E14" s="117">
        <f t="shared" si="2"/>
        <v>0.57060151714276464</v>
      </c>
      <c r="G14" s="99">
        <v>10</v>
      </c>
      <c r="H14" s="88">
        <v>3</v>
      </c>
      <c r="I14" s="88">
        <v>4</v>
      </c>
      <c r="J14" s="1">
        <v>4</v>
      </c>
      <c r="L14" s="99" t="s">
        <v>631</v>
      </c>
      <c r="M14" s="96">
        <v>1</v>
      </c>
      <c r="N14" s="99" t="s">
        <v>632</v>
      </c>
      <c r="O14" s="97">
        <v>3</v>
      </c>
      <c r="P14" s="99" t="s">
        <v>633</v>
      </c>
      <c r="Q14" s="98">
        <v>3</v>
      </c>
    </row>
    <row r="15" spans="1:17" x14ac:dyDescent="0.25">
      <c r="A15" s="102">
        <f t="shared" si="0"/>
        <v>0.30213513358838356</v>
      </c>
      <c r="B15" s="103">
        <f t="shared" si="0"/>
        <v>878.08</v>
      </c>
      <c r="C15" s="89">
        <v>11</v>
      </c>
      <c r="D15" s="89">
        <f t="shared" si="1"/>
        <v>25</v>
      </c>
      <c r="E15" s="90">
        <f t="shared" si="2"/>
        <v>0.59828455740497843</v>
      </c>
      <c r="G15" s="99">
        <v>11</v>
      </c>
      <c r="H15" s="88">
        <v>3</v>
      </c>
      <c r="I15" s="88">
        <v>4</v>
      </c>
      <c r="J15" s="1">
        <v>4</v>
      </c>
      <c r="L15" s="101"/>
      <c r="M15" s="101"/>
      <c r="N15" s="99" t="s">
        <v>634</v>
      </c>
      <c r="O15" s="97">
        <v>2</v>
      </c>
      <c r="P15" s="99" t="s">
        <v>635</v>
      </c>
      <c r="Q15" s="98">
        <v>2</v>
      </c>
    </row>
    <row r="16" spans="1:17" x14ac:dyDescent="0.25">
      <c r="A16" s="102">
        <f t="shared" si="0"/>
        <v>0.30213513358838356</v>
      </c>
      <c r="B16" s="103">
        <f t="shared" si="0"/>
        <v>878.08</v>
      </c>
      <c r="C16" s="99">
        <v>12</v>
      </c>
      <c r="D16" s="99">
        <f t="shared" si="1"/>
        <v>25</v>
      </c>
      <c r="E16" s="104">
        <f t="shared" si="2"/>
        <v>0.62596759766719212</v>
      </c>
      <c r="G16" s="99">
        <v>12</v>
      </c>
      <c r="H16" s="88">
        <v>3</v>
      </c>
      <c r="I16" s="88">
        <v>4</v>
      </c>
      <c r="J16" s="1">
        <v>3</v>
      </c>
      <c r="L16" s="101"/>
      <c r="M16" s="101"/>
      <c r="N16" s="99" t="s">
        <v>636</v>
      </c>
      <c r="O16" s="97">
        <v>1</v>
      </c>
      <c r="P16" s="99" t="s">
        <v>612</v>
      </c>
      <c r="Q16" s="98">
        <v>1</v>
      </c>
    </row>
    <row r="17" spans="1:17" x14ac:dyDescent="0.25">
      <c r="A17" s="102">
        <f t="shared" si="0"/>
        <v>0.30213513358838356</v>
      </c>
      <c r="B17" s="103">
        <f t="shared" si="0"/>
        <v>878.08</v>
      </c>
      <c r="C17" s="96">
        <v>13</v>
      </c>
      <c r="D17" s="96">
        <f t="shared" si="1"/>
        <v>25</v>
      </c>
      <c r="E17" s="118">
        <f t="shared" si="2"/>
        <v>0.65365063792940592</v>
      </c>
      <c r="G17" s="99">
        <v>13</v>
      </c>
      <c r="H17" s="88">
        <v>2</v>
      </c>
      <c r="I17" s="88">
        <v>3</v>
      </c>
      <c r="J17" s="1">
        <v>3</v>
      </c>
      <c r="L17" s="101"/>
      <c r="M17" s="101"/>
      <c r="N17" s="99"/>
      <c r="O17" s="101"/>
      <c r="P17" s="101"/>
      <c r="Q17" s="101"/>
    </row>
    <row r="18" spans="1:17" x14ac:dyDescent="0.25">
      <c r="A18" s="102">
        <f t="shared" si="0"/>
        <v>0.30213513358838356</v>
      </c>
      <c r="B18" s="103">
        <f t="shared" si="0"/>
        <v>878.08</v>
      </c>
      <c r="C18" s="98">
        <v>14</v>
      </c>
      <c r="D18" s="98">
        <f t="shared" si="1"/>
        <v>25</v>
      </c>
      <c r="E18" s="117">
        <f t="shared" si="2"/>
        <v>0.68133367819161961</v>
      </c>
      <c r="G18" s="99">
        <v>14</v>
      </c>
      <c r="H18" s="88">
        <v>2</v>
      </c>
      <c r="I18" s="88">
        <v>3</v>
      </c>
      <c r="J18" s="1">
        <v>3</v>
      </c>
      <c r="L18" s="101"/>
      <c r="M18" s="101"/>
      <c r="N18" s="100"/>
      <c r="O18" s="101"/>
      <c r="P18" s="101"/>
      <c r="Q18" s="101"/>
    </row>
    <row r="19" spans="1:17" x14ac:dyDescent="0.25">
      <c r="A19" s="102">
        <f t="shared" si="0"/>
        <v>0.30213513358838356</v>
      </c>
      <c r="B19" s="103">
        <f t="shared" si="0"/>
        <v>878.08</v>
      </c>
      <c r="C19" s="99">
        <v>15</v>
      </c>
      <c r="D19" s="99">
        <f t="shared" si="1"/>
        <v>25</v>
      </c>
      <c r="E19" s="104">
        <f t="shared" si="2"/>
        <v>0.70901671845383341</v>
      </c>
      <c r="G19" s="99">
        <v>15</v>
      </c>
      <c r="H19" s="88">
        <v>2</v>
      </c>
      <c r="I19" s="88">
        <v>3</v>
      </c>
      <c r="J19" s="1">
        <v>3</v>
      </c>
    </row>
    <row r="20" spans="1:17" x14ac:dyDescent="0.25">
      <c r="A20" s="102">
        <f t="shared" si="0"/>
        <v>0.30213513358838356</v>
      </c>
      <c r="B20" s="103">
        <f t="shared" si="0"/>
        <v>878.08</v>
      </c>
      <c r="C20" s="99">
        <v>16</v>
      </c>
      <c r="D20" s="99">
        <f t="shared" si="1"/>
        <v>25</v>
      </c>
      <c r="E20" s="104">
        <f t="shared" si="2"/>
        <v>0.7366997587160472</v>
      </c>
      <c r="G20" s="99">
        <v>16</v>
      </c>
      <c r="H20" s="88">
        <v>2</v>
      </c>
      <c r="I20" s="88">
        <v>3</v>
      </c>
      <c r="J20" s="1">
        <v>2</v>
      </c>
    </row>
    <row r="21" spans="1:17" x14ac:dyDescent="0.25">
      <c r="A21" s="102">
        <f t="shared" si="0"/>
        <v>0.30213513358838356</v>
      </c>
      <c r="B21" s="103">
        <f t="shared" si="0"/>
        <v>878.08</v>
      </c>
      <c r="C21" s="99">
        <v>17</v>
      </c>
      <c r="D21" s="99">
        <f t="shared" si="1"/>
        <v>25</v>
      </c>
      <c r="E21" s="104">
        <f t="shared" si="2"/>
        <v>0.76438279897826089</v>
      </c>
      <c r="G21" s="99">
        <v>17</v>
      </c>
      <c r="H21" s="88">
        <v>2</v>
      </c>
      <c r="I21" s="88">
        <v>3</v>
      </c>
      <c r="J21" s="1">
        <v>2</v>
      </c>
    </row>
    <row r="22" spans="1:17" x14ac:dyDescent="0.25">
      <c r="A22" s="102">
        <f t="shared" si="0"/>
        <v>0.30213513358838356</v>
      </c>
      <c r="B22" s="103">
        <f t="shared" si="0"/>
        <v>878.08</v>
      </c>
      <c r="C22" s="99">
        <v>18</v>
      </c>
      <c r="D22" s="99">
        <f t="shared" si="1"/>
        <v>25</v>
      </c>
      <c r="E22" s="104">
        <f t="shared" si="2"/>
        <v>0.79206583924047469</v>
      </c>
      <c r="G22" s="99">
        <v>18</v>
      </c>
      <c r="H22" s="88">
        <v>2</v>
      </c>
      <c r="I22" s="88">
        <v>2</v>
      </c>
      <c r="J22" s="1">
        <v>2</v>
      </c>
    </row>
    <row r="23" spans="1:17" x14ac:dyDescent="0.25">
      <c r="A23" s="102">
        <f t="shared" si="0"/>
        <v>0.30213513358838356</v>
      </c>
      <c r="B23" s="103">
        <f t="shared" si="0"/>
        <v>878.08</v>
      </c>
      <c r="C23" s="99">
        <v>19</v>
      </c>
      <c r="D23" s="99">
        <f t="shared" si="1"/>
        <v>25</v>
      </c>
      <c r="E23" s="104">
        <f t="shared" si="2"/>
        <v>0.81974887950268849</v>
      </c>
      <c r="G23" s="99">
        <v>19</v>
      </c>
      <c r="H23" s="88">
        <v>2</v>
      </c>
      <c r="I23" s="88">
        <v>2</v>
      </c>
      <c r="J23" s="1">
        <v>2</v>
      </c>
    </row>
    <row r="24" spans="1:17" x14ac:dyDescent="0.25">
      <c r="A24" s="102">
        <f t="shared" si="0"/>
        <v>0.30213513358838356</v>
      </c>
      <c r="B24" s="103">
        <f t="shared" si="0"/>
        <v>878.08</v>
      </c>
      <c r="C24" s="99">
        <v>20</v>
      </c>
      <c r="D24" s="99">
        <f t="shared" si="1"/>
        <v>25</v>
      </c>
      <c r="E24" s="104">
        <f t="shared" si="2"/>
        <v>0.84743191976490218</v>
      </c>
      <c r="G24" s="99">
        <v>20</v>
      </c>
      <c r="H24" s="88">
        <v>2</v>
      </c>
      <c r="I24" s="88">
        <v>2</v>
      </c>
      <c r="J24" s="1">
        <v>2</v>
      </c>
    </row>
    <row r="25" spans="1:17" x14ac:dyDescent="0.25">
      <c r="A25" s="102">
        <f t="shared" si="0"/>
        <v>0.30213513358838356</v>
      </c>
      <c r="B25" s="103">
        <f t="shared" si="0"/>
        <v>878.08</v>
      </c>
      <c r="C25" s="98">
        <v>21</v>
      </c>
      <c r="D25" s="98">
        <f t="shared" si="1"/>
        <v>25</v>
      </c>
      <c r="E25" s="117">
        <f t="shared" si="2"/>
        <v>0.87511496002711597</v>
      </c>
      <c r="G25" s="99">
        <v>21</v>
      </c>
      <c r="H25" s="88">
        <v>2</v>
      </c>
      <c r="I25" s="88">
        <v>2</v>
      </c>
      <c r="J25" s="1">
        <v>2</v>
      </c>
    </row>
    <row r="26" spans="1:17" x14ac:dyDescent="0.25">
      <c r="A26" s="102">
        <f t="shared" si="0"/>
        <v>0.30213513358838356</v>
      </c>
      <c r="B26" s="103">
        <f t="shared" si="0"/>
        <v>878.08</v>
      </c>
      <c r="C26" s="89">
        <v>22</v>
      </c>
      <c r="D26" s="89">
        <f t="shared" si="1"/>
        <v>25</v>
      </c>
      <c r="E26" s="90">
        <f t="shared" si="2"/>
        <v>0.90279800028932966</v>
      </c>
      <c r="G26" s="99">
        <v>22</v>
      </c>
      <c r="H26" s="88">
        <v>2</v>
      </c>
      <c r="I26" s="88">
        <v>2</v>
      </c>
      <c r="J26" s="1">
        <v>2</v>
      </c>
    </row>
    <row r="27" spans="1:17" x14ac:dyDescent="0.25">
      <c r="A27" s="102">
        <f t="shared" si="0"/>
        <v>0.30213513358838356</v>
      </c>
      <c r="B27" s="103">
        <f t="shared" si="0"/>
        <v>878.08</v>
      </c>
      <c r="C27" s="99">
        <v>23</v>
      </c>
      <c r="D27" s="99">
        <f t="shared" si="1"/>
        <v>25</v>
      </c>
      <c r="E27" s="104">
        <f t="shared" si="2"/>
        <v>0.93048104055154346</v>
      </c>
      <c r="G27" s="99">
        <v>23</v>
      </c>
      <c r="H27" s="88">
        <v>2</v>
      </c>
      <c r="I27" s="88">
        <v>2</v>
      </c>
      <c r="J27" s="1">
        <v>2</v>
      </c>
    </row>
    <row r="28" spans="1:17" x14ac:dyDescent="0.25">
      <c r="A28" s="102">
        <f t="shared" si="0"/>
        <v>0.30213513358838356</v>
      </c>
      <c r="B28" s="103">
        <f t="shared" si="0"/>
        <v>878.08</v>
      </c>
      <c r="C28" s="99">
        <v>24</v>
      </c>
      <c r="D28" s="99">
        <f t="shared" si="1"/>
        <v>25</v>
      </c>
      <c r="E28" s="104">
        <f t="shared" si="2"/>
        <v>0.95816408081375726</v>
      </c>
      <c r="G28" s="99">
        <v>24</v>
      </c>
      <c r="H28" s="88">
        <v>2</v>
      </c>
      <c r="I28" s="88">
        <v>2</v>
      </c>
      <c r="J28" s="1">
        <v>2</v>
      </c>
    </row>
    <row r="29" spans="1:17" x14ac:dyDescent="0.25">
      <c r="A29" s="102">
        <f t="shared" si="0"/>
        <v>0.30213513358838356</v>
      </c>
      <c r="B29" s="103">
        <f t="shared" si="0"/>
        <v>878.08</v>
      </c>
      <c r="C29" s="99">
        <v>25</v>
      </c>
      <c r="D29" s="99">
        <f t="shared" si="1"/>
        <v>25</v>
      </c>
      <c r="E29" s="104">
        <f t="shared" si="2"/>
        <v>0.98584712107597094</v>
      </c>
      <c r="G29" s="99">
        <v>25</v>
      </c>
      <c r="H29" s="88">
        <v>2</v>
      </c>
      <c r="I29" s="88">
        <v>2</v>
      </c>
      <c r="J29" s="1">
        <v>2</v>
      </c>
    </row>
    <row r="30" spans="1:17" x14ac:dyDescent="0.25">
      <c r="A30" s="102">
        <f t="shared" si="0"/>
        <v>0.30213513358838356</v>
      </c>
      <c r="B30" s="103">
        <f t="shared" si="0"/>
        <v>878.08</v>
      </c>
      <c r="C30" s="96">
        <v>26</v>
      </c>
      <c r="D30" s="96">
        <f t="shared" si="1"/>
        <v>25</v>
      </c>
      <c r="E30" s="118">
        <f t="shared" si="2"/>
        <v>1.0135301613381846</v>
      </c>
      <c r="G30" s="99">
        <v>26</v>
      </c>
      <c r="H30" s="88">
        <v>2</v>
      </c>
      <c r="I30" s="88">
        <v>2</v>
      </c>
      <c r="J30" s="1">
        <v>1</v>
      </c>
    </row>
    <row r="31" spans="1:17" x14ac:dyDescent="0.25">
      <c r="A31" s="102">
        <f t="shared" ref="A31:B46" si="3">A30</f>
        <v>0.30213513358838356</v>
      </c>
      <c r="B31" s="103">
        <f t="shared" si="3"/>
        <v>878.08</v>
      </c>
      <c r="C31" s="99">
        <v>27</v>
      </c>
      <c r="D31" s="99">
        <f t="shared" si="1"/>
        <v>25</v>
      </c>
      <c r="E31" s="104">
        <f t="shared" si="2"/>
        <v>1.0412132016003985</v>
      </c>
      <c r="G31" s="99">
        <v>27</v>
      </c>
      <c r="H31" s="88">
        <v>1</v>
      </c>
      <c r="I31" s="88">
        <v>2</v>
      </c>
      <c r="J31" s="1">
        <v>1</v>
      </c>
    </row>
    <row r="32" spans="1:17" x14ac:dyDescent="0.25">
      <c r="A32" s="102">
        <f t="shared" si="3"/>
        <v>0.30213513358838356</v>
      </c>
      <c r="B32" s="103">
        <f t="shared" si="3"/>
        <v>878.08</v>
      </c>
      <c r="C32" s="99">
        <v>28</v>
      </c>
      <c r="D32" s="99">
        <f t="shared" si="1"/>
        <v>25</v>
      </c>
      <c r="E32" s="104">
        <f t="shared" si="2"/>
        <v>1.0688962418626122</v>
      </c>
      <c r="G32" s="99">
        <v>28</v>
      </c>
      <c r="H32" s="88">
        <v>1</v>
      </c>
      <c r="I32" s="88">
        <v>2</v>
      </c>
      <c r="J32" s="1">
        <v>1</v>
      </c>
    </row>
    <row r="33" spans="1:10" x14ac:dyDescent="0.25">
      <c r="A33" s="102">
        <f t="shared" si="3"/>
        <v>0.30213513358838356</v>
      </c>
      <c r="B33" s="103">
        <f t="shared" si="3"/>
        <v>878.08</v>
      </c>
      <c r="C33" s="99">
        <v>29</v>
      </c>
      <c r="D33" s="99">
        <f t="shared" si="1"/>
        <v>25</v>
      </c>
      <c r="E33" s="104">
        <f t="shared" si="2"/>
        <v>1.0965792821248259</v>
      </c>
      <c r="G33" s="99">
        <v>29</v>
      </c>
      <c r="H33" s="88">
        <v>1</v>
      </c>
      <c r="I33" s="88">
        <v>2</v>
      </c>
      <c r="J33" s="1">
        <v>1</v>
      </c>
    </row>
    <row r="34" spans="1:10" x14ac:dyDescent="0.25">
      <c r="A34" s="102">
        <f t="shared" si="3"/>
        <v>0.30213513358838356</v>
      </c>
      <c r="B34" s="103">
        <f t="shared" si="3"/>
        <v>878.08</v>
      </c>
      <c r="C34" s="99">
        <v>30</v>
      </c>
      <c r="D34" s="99">
        <f t="shared" si="1"/>
        <v>25</v>
      </c>
      <c r="E34" s="104">
        <f t="shared" si="2"/>
        <v>1.1242623223870398</v>
      </c>
      <c r="G34" s="99">
        <v>30</v>
      </c>
      <c r="H34" s="88">
        <v>1</v>
      </c>
      <c r="I34" s="88">
        <v>1</v>
      </c>
      <c r="J34" s="1">
        <v>1</v>
      </c>
    </row>
    <row r="35" spans="1:10" x14ac:dyDescent="0.25">
      <c r="A35" s="102">
        <f t="shared" si="3"/>
        <v>0.30213513358838356</v>
      </c>
      <c r="B35" s="103">
        <f t="shared" si="3"/>
        <v>878.08</v>
      </c>
      <c r="C35" s="99">
        <v>31</v>
      </c>
      <c r="D35" s="99">
        <f t="shared" si="1"/>
        <v>25</v>
      </c>
      <c r="E35" s="104">
        <f t="shared" si="2"/>
        <v>1.1519453626492535</v>
      </c>
      <c r="G35" s="99">
        <v>40</v>
      </c>
      <c r="H35" s="88">
        <v>1</v>
      </c>
      <c r="I35" s="88">
        <v>1</v>
      </c>
      <c r="J35" s="1">
        <v>1</v>
      </c>
    </row>
    <row r="36" spans="1:10" x14ac:dyDescent="0.25">
      <c r="A36" s="102">
        <f t="shared" si="3"/>
        <v>0.30213513358838356</v>
      </c>
      <c r="B36" s="103">
        <f t="shared" si="3"/>
        <v>878.08</v>
      </c>
      <c r="C36" s="99">
        <v>32</v>
      </c>
      <c r="D36" s="99">
        <f t="shared" si="1"/>
        <v>25</v>
      </c>
      <c r="E36" s="104">
        <f t="shared" si="2"/>
        <v>1.1796284029114672</v>
      </c>
      <c r="G36" s="99">
        <v>50</v>
      </c>
      <c r="H36" s="88">
        <v>1</v>
      </c>
      <c r="I36" s="88">
        <v>1</v>
      </c>
      <c r="J36" s="1">
        <v>1</v>
      </c>
    </row>
    <row r="37" spans="1:10" x14ac:dyDescent="0.25">
      <c r="A37" s="102">
        <f t="shared" si="3"/>
        <v>0.30213513358838356</v>
      </c>
      <c r="B37" s="103">
        <f t="shared" si="3"/>
        <v>878.08</v>
      </c>
      <c r="C37" s="99">
        <v>33</v>
      </c>
      <c r="D37" s="99">
        <f t="shared" si="1"/>
        <v>25</v>
      </c>
      <c r="E37" s="104">
        <f t="shared" si="2"/>
        <v>1.2073114431736811</v>
      </c>
      <c r="G37" s="99">
        <v>60</v>
      </c>
      <c r="H37" s="88">
        <v>1</v>
      </c>
      <c r="I37" s="88">
        <v>1</v>
      </c>
      <c r="J37" s="1">
        <v>1</v>
      </c>
    </row>
    <row r="38" spans="1:10" x14ac:dyDescent="0.25">
      <c r="A38" s="102">
        <f t="shared" si="3"/>
        <v>0.30213513358838356</v>
      </c>
      <c r="B38" s="103">
        <f t="shared" si="3"/>
        <v>878.08</v>
      </c>
      <c r="C38" s="99">
        <v>34</v>
      </c>
      <c r="D38" s="99">
        <f t="shared" si="1"/>
        <v>25</v>
      </c>
      <c r="E38" s="104">
        <f t="shared" si="2"/>
        <v>1.2349944834358948</v>
      </c>
      <c r="G38" s="99">
        <v>70</v>
      </c>
      <c r="H38" s="88">
        <v>1</v>
      </c>
      <c r="I38" s="88">
        <v>1</v>
      </c>
      <c r="J38" s="1">
        <v>1</v>
      </c>
    </row>
    <row r="39" spans="1:10" x14ac:dyDescent="0.25">
      <c r="A39" s="102">
        <f t="shared" si="3"/>
        <v>0.30213513358838356</v>
      </c>
      <c r="B39" s="103">
        <f t="shared" si="3"/>
        <v>878.08</v>
      </c>
      <c r="C39" s="99">
        <v>35</v>
      </c>
      <c r="D39" s="99">
        <f t="shared" si="1"/>
        <v>25</v>
      </c>
      <c r="E39" s="104">
        <f t="shared" si="2"/>
        <v>1.2626775236981085</v>
      </c>
      <c r="G39" s="99">
        <v>80</v>
      </c>
      <c r="H39" s="88">
        <v>1</v>
      </c>
      <c r="I39" s="88">
        <v>1</v>
      </c>
      <c r="J39" s="1">
        <v>1</v>
      </c>
    </row>
    <row r="40" spans="1:10" x14ac:dyDescent="0.25">
      <c r="A40" s="102">
        <f t="shared" si="3"/>
        <v>0.30213513358838356</v>
      </c>
      <c r="B40" s="103">
        <f t="shared" si="3"/>
        <v>878.08</v>
      </c>
      <c r="C40" s="99">
        <v>36</v>
      </c>
      <c r="D40" s="99">
        <f t="shared" si="1"/>
        <v>25</v>
      </c>
      <c r="E40" s="104">
        <f t="shared" si="2"/>
        <v>1.2903605639603224</v>
      </c>
      <c r="G40" s="99">
        <v>150</v>
      </c>
      <c r="H40" s="88">
        <v>1</v>
      </c>
      <c r="I40" s="88">
        <v>1</v>
      </c>
      <c r="J40" s="1">
        <v>1</v>
      </c>
    </row>
    <row r="41" spans="1:10" x14ac:dyDescent="0.25">
      <c r="A41" s="102">
        <f t="shared" si="3"/>
        <v>0.30213513358838356</v>
      </c>
      <c r="B41" s="103">
        <f t="shared" si="3"/>
        <v>878.08</v>
      </c>
      <c r="C41" s="99">
        <v>37</v>
      </c>
      <c r="D41" s="99">
        <f t="shared" si="1"/>
        <v>25</v>
      </c>
      <c r="E41" s="104">
        <f t="shared" si="2"/>
        <v>1.3180436042225361</v>
      </c>
      <c r="G41" s="99">
        <v>200</v>
      </c>
      <c r="H41" s="88">
        <v>1</v>
      </c>
      <c r="I41" s="88">
        <v>1</v>
      </c>
      <c r="J41" s="1">
        <v>1</v>
      </c>
    </row>
    <row r="42" spans="1:10" x14ac:dyDescent="0.25">
      <c r="A42" s="102">
        <f t="shared" si="3"/>
        <v>0.30213513358838356</v>
      </c>
      <c r="B42" s="103">
        <f t="shared" si="3"/>
        <v>878.08</v>
      </c>
      <c r="C42" s="99">
        <v>38</v>
      </c>
      <c r="D42" s="99">
        <f t="shared" si="1"/>
        <v>25</v>
      </c>
      <c r="E42" s="104">
        <f t="shared" si="2"/>
        <v>1.3457266444847498</v>
      </c>
      <c r="G42" s="99">
        <v>500</v>
      </c>
      <c r="H42" s="88">
        <v>1</v>
      </c>
      <c r="I42" s="88">
        <v>1</v>
      </c>
      <c r="J42" s="1">
        <v>1</v>
      </c>
    </row>
    <row r="43" spans="1:10" x14ac:dyDescent="0.25">
      <c r="A43" s="102">
        <f t="shared" si="3"/>
        <v>0.30213513358838356</v>
      </c>
      <c r="B43" s="103">
        <f t="shared" si="3"/>
        <v>878.08</v>
      </c>
      <c r="C43" s="99">
        <v>39</v>
      </c>
      <c r="D43" s="99">
        <f t="shared" si="1"/>
        <v>25</v>
      </c>
      <c r="E43" s="104">
        <f t="shared" si="2"/>
        <v>1.3734096847469635</v>
      </c>
    </row>
    <row r="44" spans="1:10" x14ac:dyDescent="0.25">
      <c r="A44" s="102">
        <f t="shared" si="3"/>
        <v>0.30213513358838356</v>
      </c>
      <c r="B44" s="103">
        <f t="shared" si="3"/>
        <v>878.08</v>
      </c>
      <c r="C44" s="99">
        <v>40</v>
      </c>
      <c r="D44" s="99">
        <f t="shared" si="1"/>
        <v>25</v>
      </c>
      <c r="E44" s="104">
        <f t="shared" si="2"/>
        <v>1.4010927250091774</v>
      </c>
    </row>
    <row r="45" spans="1:10" x14ac:dyDescent="0.25">
      <c r="A45" s="102">
        <f t="shared" si="3"/>
        <v>0.30213513358838356</v>
      </c>
      <c r="B45" s="103">
        <f t="shared" si="3"/>
        <v>878.08</v>
      </c>
      <c r="C45" s="99">
        <v>41</v>
      </c>
      <c r="D45" s="99">
        <f t="shared" si="1"/>
        <v>25</v>
      </c>
      <c r="E45" s="104">
        <f t="shared" si="2"/>
        <v>1.4287757652713911</v>
      </c>
    </row>
    <row r="46" spans="1:10" x14ac:dyDescent="0.25">
      <c r="A46" s="102">
        <f t="shared" si="3"/>
        <v>0.30213513358838356</v>
      </c>
      <c r="B46" s="103">
        <f t="shared" si="3"/>
        <v>878.08</v>
      </c>
      <c r="C46" s="98">
        <v>42</v>
      </c>
      <c r="D46" s="98">
        <f t="shared" si="1"/>
        <v>25</v>
      </c>
      <c r="E46" s="117">
        <f t="shared" si="2"/>
        <v>1.4564588055336047</v>
      </c>
    </row>
    <row r="47" spans="1:10" x14ac:dyDescent="0.25">
      <c r="A47" s="102">
        <f t="shared" ref="A47:B73" si="4">A46</f>
        <v>0.30213513358838356</v>
      </c>
      <c r="B47" s="103">
        <f t="shared" si="4"/>
        <v>878.08</v>
      </c>
      <c r="C47" s="89">
        <v>43</v>
      </c>
      <c r="D47" s="89">
        <f t="shared" si="1"/>
        <v>25</v>
      </c>
      <c r="E47" s="90">
        <f t="shared" si="2"/>
        <v>1.4841418457958186</v>
      </c>
    </row>
    <row r="48" spans="1:10" x14ac:dyDescent="0.25">
      <c r="A48" s="102">
        <f t="shared" si="4"/>
        <v>0.30213513358838356</v>
      </c>
      <c r="B48" s="103">
        <f t="shared" si="4"/>
        <v>878.08</v>
      </c>
      <c r="C48" s="99">
        <v>44</v>
      </c>
      <c r="D48" s="99">
        <f t="shared" si="1"/>
        <v>25</v>
      </c>
      <c r="E48" s="104">
        <f t="shared" si="2"/>
        <v>1.5118248860580323</v>
      </c>
    </row>
    <row r="49" spans="1:5" x14ac:dyDescent="0.25">
      <c r="A49" s="102">
        <f t="shared" si="4"/>
        <v>0.30213513358838356</v>
      </c>
      <c r="B49" s="103">
        <f t="shared" si="4"/>
        <v>878.08</v>
      </c>
      <c r="C49" s="99">
        <v>45</v>
      </c>
      <c r="D49" s="99">
        <f t="shared" si="1"/>
        <v>25</v>
      </c>
      <c r="E49" s="104">
        <f t="shared" si="2"/>
        <v>1.539507926320246</v>
      </c>
    </row>
    <row r="50" spans="1:5" x14ac:dyDescent="0.25">
      <c r="A50" s="102">
        <f t="shared" si="4"/>
        <v>0.30213513358838356</v>
      </c>
      <c r="B50" s="103">
        <f t="shared" si="4"/>
        <v>878.08</v>
      </c>
      <c r="C50" s="99">
        <v>46</v>
      </c>
      <c r="D50" s="99">
        <f t="shared" si="1"/>
        <v>25</v>
      </c>
      <c r="E50" s="104">
        <f t="shared" si="2"/>
        <v>1.5671909665824599</v>
      </c>
    </row>
    <row r="51" spans="1:5" x14ac:dyDescent="0.25">
      <c r="A51" s="102">
        <f t="shared" si="4"/>
        <v>0.30213513358838356</v>
      </c>
      <c r="B51" s="103">
        <f t="shared" si="4"/>
        <v>878.08</v>
      </c>
      <c r="C51" s="99">
        <v>47</v>
      </c>
      <c r="D51" s="99">
        <f t="shared" si="1"/>
        <v>25</v>
      </c>
      <c r="E51" s="104">
        <f t="shared" si="2"/>
        <v>1.5948740068446736</v>
      </c>
    </row>
    <row r="52" spans="1:5" x14ac:dyDescent="0.25">
      <c r="A52" s="102">
        <f t="shared" si="4"/>
        <v>0.30213513358838356</v>
      </c>
      <c r="B52" s="103">
        <f t="shared" si="4"/>
        <v>878.08</v>
      </c>
      <c r="C52" s="99">
        <v>48</v>
      </c>
      <c r="D52" s="99">
        <f t="shared" si="1"/>
        <v>25</v>
      </c>
      <c r="E52" s="104">
        <f t="shared" si="2"/>
        <v>1.6225570471068873</v>
      </c>
    </row>
    <row r="53" spans="1:5" x14ac:dyDescent="0.25">
      <c r="A53" s="102">
        <f t="shared" si="4"/>
        <v>0.30213513358838356</v>
      </c>
      <c r="B53" s="103">
        <f t="shared" si="4"/>
        <v>878.08</v>
      </c>
      <c r="C53" s="99">
        <v>49</v>
      </c>
      <c r="D53" s="99">
        <f t="shared" si="1"/>
        <v>25</v>
      </c>
      <c r="E53" s="104">
        <f t="shared" si="2"/>
        <v>1.6502400873691012</v>
      </c>
    </row>
    <row r="54" spans="1:5" x14ac:dyDescent="0.25">
      <c r="A54" s="102">
        <f t="shared" si="4"/>
        <v>0.30213513358838356</v>
      </c>
      <c r="B54" s="103">
        <f t="shared" si="4"/>
        <v>878.08</v>
      </c>
      <c r="C54" s="99">
        <v>50</v>
      </c>
      <c r="D54" s="99">
        <f t="shared" si="1"/>
        <v>25</v>
      </c>
      <c r="E54" s="104">
        <f t="shared" si="2"/>
        <v>1.6779231276313149</v>
      </c>
    </row>
    <row r="55" spans="1:5" x14ac:dyDescent="0.25">
      <c r="A55" s="102">
        <f t="shared" si="4"/>
        <v>0.30213513358838356</v>
      </c>
      <c r="B55" s="103">
        <f t="shared" si="4"/>
        <v>878.08</v>
      </c>
      <c r="C55" s="99">
        <v>51</v>
      </c>
      <c r="D55" s="99">
        <f t="shared" si="1"/>
        <v>25</v>
      </c>
      <c r="E55" s="104">
        <f t="shared" si="2"/>
        <v>1.7056061678935286</v>
      </c>
    </row>
    <row r="56" spans="1:5" x14ac:dyDescent="0.25">
      <c r="A56" s="102">
        <f t="shared" si="4"/>
        <v>0.30213513358838356</v>
      </c>
      <c r="B56" s="103">
        <f t="shared" si="4"/>
        <v>878.08</v>
      </c>
      <c r="C56" s="99">
        <v>52</v>
      </c>
      <c r="D56" s="99">
        <f t="shared" si="1"/>
        <v>25</v>
      </c>
      <c r="E56" s="104">
        <f t="shared" si="2"/>
        <v>1.7332892081557423</v>
      </c>
    </row>
    <row r="57" spans="1:5" x14ac:dyDescent="0.25">
      <c r="A57" s="102">
        <f t="shared" si="4"/>
        <v>0.30213513358838356</v>
      </c>
      <c r="B57" s="103">
        <f t="shared" si="4"/>
        <v>878.08</v>
      </c>
      <c r="C57" s="99">
        <v>53</v>
      </c>
      <c r="D57" s="99">
        <f t="shared" si="1"/>
        <v>25</v>
      </c>
      <c r="E57" s="104">
        <f t="shared" si="2"/>
        <v>1.7609722484179562</v>
      </c>
    </row>
    <row r="58" spans="1:5" x14ac:dyDescent="0.25">
      <c r="A58" s="102">
        <f t="shared" si="4"/>
        <v>0.30213513358838356</v>
      </c>
      <c r="B58" s="103">
        <f t="shared" si="4"/>
        <v>878.08</v>
      </c>
      <c r="C58" s="99">
        <v>54</v>
      </c>
      <c r="D58" s="99">
        <f t="shared" si="1"/>
        <v>25</v>
      </c>
      <c r="E58" s="104">
        <f t="shared" si="2"/>
        <v>1.7886552886801699</v>
      </c>
    </row>
    <row r="59" spans="1:5" x14ac:dyDescent="0.25">
      <c r="A59" s="102">
        <f t="shared" si="4"/>
        <v>0.30213513358838356</v>
      </c>
      <c r="B59" s="103">
        <f t="shared" si="4"/>
        <v>878.08</v>
      </c>
      <c r="C59" s="99">
        <v>55</v>
      </c>
      <c r="D59" s="99">
        <f t="shared" si="1"/>
        <v>25</v>
      </c>
      <c r="E59" s="104">
        <f t="shared" si="2"/>
        <v>1.8163383289423836</v>
      </c>
    </row>
    <row r="60" spans="1:5" x14ac:dyDescent="0.25">
      <c r="A60" s="102">
        <f t="shared" si="4"/>
        <v>0.30213513358838356</v>
      </c>
      <c r="B60" s="103">
        <f t="shared" si="4"/>
        <v>878.08</v>
      </c>
      <c r="C60" s="99">
        <v>56</v>
      </c>
      <c r="D60" s="99">
        <f t="shared" si="1"/>
        <v>25</v>
      </c>
      <c r="E60" s="104">
        <f t="shared" si="2"/>
        <v>1.8440213692045975</v>
      </c>
    </row>
    <row r="61" spans="1:5" x14ac:dyDescent="0.25">
      <c r="A61" s="102">
        <f t="shared" si="4"/>
        <v>0.30213513358838356</v>
      </c>
      <c r="B61" s="103">
        <f t="shared" si="4"/>
        <v>878.08</v>
      </c>
      <c r="C61" s="99">
        <v>57</v>
      </c>
      <c r="D61" s="99">
        <f t="shared" si="1"/>
        <v>25</v>
      </c>
      <c r="E61" s="104">
        <f t="shared" si="2"/>
        <v>1.8717044094668112</v>
      </c>
    </row>
    <row r="62" spans="1:5" x14ac:dyDescent="0.25">
      <c r="A62" s="102">
        <f t="shared" si="4"/>
        <v>0.30213513358838356</v>
      </c>
      <c r="B62" s="103">
        <f t="shared" si="4"/>
        <v>878.08</v>
      </c>
      <c r="C62" s="99">
        <v>58</v>
      </c>
      <c r="D62" s="99">
        <f t="shared" si="1"/>
        <v>25</v>
      </c>
      <c r="E62" s="104">
        <f t="shared" si="2"/>
        <v>1.8993874497290248</v>
      </c>
    </row>
    <row r="63" spans="1:5" x14ac:dyDescent="0.25">
      <c r="A63" s="102">
        <f t="shared" si="4"/>
        <v>0.30213513358838356</v>
      </c>
      <c r="B63" s="103">
        <f t="shared" si="4"/>
        <v>878.08</v>
      </c>
      <c r="C63" s="99">
        <v>59</v>
      </c>
      <c r="D63" s="99">
        <f t="shared" si="1"/>
        <v>25</v>
      </c>
      <c r="E63" s="104">
        <f t="shared" si="2"/>
        <v>1.9270704899912388</v>
      </c>
    </row>
    <row r="64" spans="1:5" x14ac:dyDescent="0.25">
      <c r="A64" s="102">
        <f t="shared" si="4"/>
        <v>0.30213513358838356</v>
      </c>
      <c r="B64" s="103">
        <f t="shared" si="4"/>
        <v>878.08</v>
      </c>
      <c r="C64" s="99">
        <v>60</v>
      </c>
      <c r="D64" s="99">
        <f t="shared" si="1"/>
        <v>25</v>
      </c>
      <c r="E64" s="104">
        <f t="shared" si="2"/>
        <v>1.9547535302534524</v>
      </c>
    </row>
    <row r="65" spans="1:5" x14ac:dyDescent="0.25">
      <c r="A65" s="102">
        <f t="shared" si="4"/>
        <v>0.30213513358838356</v>
      </c>
      <c r="B65" s="103">
        <f t="shared" si="4"/>
        <v>878.08</v>
      </c>
      <c r="C65" s="99">
        <v>61</v>
      </c>
      <c r="D65" s="99">
        <f t="shared" si="1"/>
        <v>25</v>
      </c>
      <c r="E65" s="104">
        <f t="shared" si="2"/>
        <v>1.9824365705156661</v>
      </c>
    </row>
    <row r="66" spans="1:5" x14ac:dyDescent="0.25">
      <c r="A66" s="102">
        <f t="shared" si="4"/>
        <v>0.30213513358838356</v>
      </c>
      <c r="B66" s="103">
        <f t="shared" si="4"/>
        <v>878.08</v>
      </c>
      <c r="C66" s="99">
        <v>62</v>
      </c>
      <c r="D66" s="99">
        <f t="shared" si="1"/>
        <v>25</v>
      </c>
      <c r="E66" s="104">
        <f t="shared" si="2"/>
        <v>2.0101196107778798</v>
      </c>
    </row>
    <row r="67" spans="1:5" x14ac:dyDescent="0.25">
      <c r="A67" s="102">
        <f t="shared" si="4"/>
        <v>0.30213513358838356</v>
      </c>
      <c r="B67" s="103">
        <f t="shared" si="4"/>
        <v>878.08</v>
      </c>
      <c r="C67" s="99">
        <v>63</v>
      </c>
      <c r="D67" s="99">
        <f t="shared" si="1"/>
        <v>25</v>
      </c>
      <c r="E67" s="104">
        <f t="shared" si="2"/>
        <v>2.0378026510400935</v>
      </c>
    </row>
    <row r="68" spans="1:5" x14ac:dyDescent="0.25">
      <c r="A68" s="102">
        <f t="shared" si="4"/>
        <v>0.30213513358838356</v>
      </c>
      <c r="B68" s="103">
        <f t="shared" si="4"/>
        <v>878.08</v>
      </c>
      <c r="C68" s="99">
        <v>64</v>
      </c>
      <c r="D68" s="99">
        <f t="shared" si="1"/>
        <v>25</v>
      </c>
      <c r="E68" s="104">
        <f t="shared" si="2"/>
        <v>2.0654856913023076</v>
      </c>
    </row>
    <row r="69" spans="1:5" x14ac:dyDescent="0.25">
      <c r="A69" s="102">
        <f t="shared" si="4"/>
        <v>0.30213513358838356</v>
      </c>
      <c r="B69" s="103">
        <f t="shared" si="4"/>
        <v>878.08</v>
      </c>
      <c r="C69" s="99">
        <v>65</v>
      </c>
      <c r="D69" s="99">
        <f t="shared" si="1"/>
        <v>25</v>
      </c>
      <c r="E69" s="104">
        <f t="shared" si="2"/>
        <v>2.0931687315645213</v>
      </c>
    </row>
    <row r="70" spans="1:5" x14ac:dyDescent="0.25">
      <c r="A70" s="102">
        <f t="shared" si="4"/>
        <v>0.30213513358838356</v>
      </c>
      <c r="B70" s="103">
        <f t="shared" si="4"/>
        <v>878.08</v>
      </c>
      <c r="C70" s="99">
        <v>66</v>
      </c>
      <c r="D70" s="99">
        <f t="shared" ref="D70:D79" si="5">D69</f>
        <v>25</v>
      </c>
      <c r="E70" s="104">
        <f t="shared" ref="E70:E79" si="6">((A70*B70)+(C70*D70))/(B70+D70)</f>
        <v>2.120851771826735</v>
      </c>
    </row>
    <row r="71" spans="1:5" x14ac:dyDescent="0.25">
      <c r="A71" s="102">
        <f t="shared" si="4"/>
        <v>0.30213513358838356</v>
      </c>
      <c r="B71" s="103">
        <f t="shared" si="4"/>
        <v>878.08</v>
      </c>
      <c r="C71" s="99">
        <v>67</v>
      </c>
      <c r="D71" s="99">
        <f t="shared" si="5"/>
        <v>25</v>
      </c>
      <c r="E71" s="104">
        <f t="shared" si="6"/>
        <v>2.1485348120889487</v>
      </c>
    </row>
    <row r="72" spans="1:5" x14ac:dyDescent="0.25">
      <c r="A72" s="102">
        <f t="shared" si="4"/>
        <v>0.30213513358838356</v>
      </c>
      <c r="B72" s="103">
        <f t="shared" si="4"/>
        <v>878.08</v>
      </c>
      <c r="C72" s="99">
        <v>68</v>
      </c>
      <c r="D72" s="99">
        <f t="shared" si="5"/>
        <v>25</v>
      </c>
      <c r="E72" s="104">
        <f t="shared" si="6"/>
        <v>2.1762178523511624</v>
      </c>
    </row>
    <row r="73" spans="1:5" x14ac:dyDescent="0.25">
      <c r="A73" s="102">
        <f t="shared" si="4"/>
        <v>0.30213513358838356</v>
      </c>
      <c r="B73" s="103">
        <f t="shared" si="4"/>
        <v>878.08</v>
      </c>
      <c r="C73" s="99">
        <v>69</v>
      </c>
      <c r="D73" s="99">
        <f t="shared" si="5"/>
        <v>25</v>
      </c>
      <c r="E73" s="104">
        <f t="shared" si="6"/>
        <v>2.2039008926133761</v>
      </c>
    </row>
    <row r="74" spans="1:5" x14ac:dyDescent="0.25">
      <c r="A74" s="102">
        <f t="shared" ref="A74:B79" si="7">A73</f>
        <v>0.30213513358838356</v>
      </c>
      <c r="B74" s="103">
        <f t="shared" si="7"/>
        <v>878.08</v>
      </c>
      <c r="C74" s="99">
        <v>70</v>
      </c>
      <c r="D74" s="99">
        <f t="shared" si="5"/>
        <v>25</v>
      </c>
      <c r="E74" s="104">
        <f t="shared" si="6"/>
        <v>2.2315839328755902</v>
      </c>
    </row>
    <row r="75" spans="1:5" x14ac:dyDescent="0.25">
      <c r="A75" s="102">
        <f t="shared" si="7"/>
        <v>0.30213513358838356</v>
      </c>
      <c r="B75" s="103">
        <f t="shared" si="7"/>
        <v>878.08</v>
      </c>
      <c r="C75" s="99">
        <v>71</v>
      </c>
      <c r="D75" s="99">
        <f t="shared" si="5"/>
        <v>25</v>
      </c>
      <c r="E75" s="104">
        <f t="shared" si="6"/>
        <v>2.2592669731378039</v>
      </c>
    </row>
    <row r="76" spans="1:5" x14ac:dyDescent="0.25">
      <c r="A76" s="102">
        <f t="shared" si="7"/>
        <v>0.30213513358838356</v>
      </c>
      <c r="B76" s="103">
        <f t="shared" si="7"/>
        <v>878.08</v>
      </c>
      <c r="C76" s="99">
        <v>72</v>
      </c>
      <c r="D76" s="99">
        <f t="shared" si="5"/>
        <v>25</v>
      </c>
      <c r="E76" s="104">
        <f t="shared" si="6"/>
        <v>2.2869500134000176</v>
      </c>
    </row>
    <row r="77" spans="1:5" x14ac:dyDescent="0.25">
      <c r="A77" s="102">
        <f t="shared" si="7"/>
        <v>0.30213513358838356</v>
      </c>
      <c r="B77" s="103">
        <f t="shared" si="7"/>
        <v>878.08</v>
      </c>
      <c r="C77" s="99">
        <v>73</v>
      </c>
      <c r="D77" s="99">
        <f t="shared" si="5"/>
        <v>25</v>
      </c>
      <c r="E77" s="104">
        <f t="shared" si="6"/>
        <v>2.3146330536622313</v>
      </c>
    </row>
    <row r="78" spans="1:5" x14ac:dyDescent="0.25">
      <c r="A78" s="102">
        <f t="shared" si="7"/>
        <v>0.30213513358838356</v>
      </c>
      <c r="B78" s="103">
        <f t="shared" si="7"/>
        <v>878.08</v>
      </c>
      <c r="C78" s="99">
        <v>74</v>
      </c>
      <c r="D78" s="99">
        <f t="shared" si="5"/>
        <v>25</v>
      </c>
      <c r="E78" s="104">
        <f t="shared" si="6"/>
        <v>2.342316093924445</v>
      </c>
    </row>
    <row r="79" spans="1:5" x14ac:dyDescent="0.25">
      <c r="A79" s="102">
        <f t="shared" si="7"/>
        <v>0.30213513358838356</v>
      </c>
      <c r="B79" s="103">
        <f t="shared" si="7"/>
        <v>878.08</v>
      </c>
      <c r="C79" s="99">
        <v>75</v>
      </c>
      <c r="D79" s="99">
        <f t="shared" si="5"/>
        <v>25</v>
      </c>
      <c r="E79" s="104">
        <f t="shared" si="6"/>
        <v>2.3699991341866586</v>
      </c>
    </row>
  </sheetData>
  <mergeCells count="5">
    <mergeCell ref="A1:Q1"/>
    <mergeCell ref="A2:E2"/>
    <mergeCell ref="C3:D3"/>
    <mergeCell ref="H3:J3"/>
    <mergeCell ref="L3:Q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8F0D-E5E3-43F3-B795-C5B242C0C35B}">
  <sheetPr>
    <tabColor theme="1" tint="4.9989318521683403E-2"/>
  </sheetPr>
  <dimension ref="A1:Q79"/>
  <sheetViews>
    <sheetView workbookViewId="0">
      <selection activeCell="L5" sqref="L5:Q7"/>
    </sheetView>
  </sheetViews>
  <sheetFormatPr baseColWidth="10" defaultColWidth="11.42578125" defaultRowHeight="15" x14ac:dyDescent="0.25"/>
  <cols>
    <col min="1" max="2" width="7.5703125" customWidth="1"/>
    <col min="3" max="4" width="9" customWidth="1"/>
    <col min="5" max="5" width="7.5703125" customWidth="1"/>
    <col min="6" max="6" width="3.85546875" customWidth="1"/>
    <col min="7" max="7" width="10.7109375" style="1" customWidth="1"/>
    <col min="8" max="9" width="4" style="88" customWidth="1"/>
    <col min="10" max="10" width="4" style="1" customWidth="1"/>
    <col min="11" max="11" width="5.140625" customWidth="1"/>
    <col min="12" max="12" width="10.85546875" customWidth="1"/>
    <col min="13" max="17" width="9.140625" customWidth="1"/>
  </cols>
  <sheetData>
    <row r="1" spans="1:17" x14ac:dyDescent="0.25">
      <c r="A1" s="132" t="s">
        <v>586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x14ac:dyDescent="0.25">
      <c r="A2" s="149" t="s">
        <v>103</v>
      </c>
      <c r="B2" s="149"/>
      <c r="C2" s="149"/>
      <c r="D2" s="149"/>
      <c r="E2" s="149"/>
    </row>
    <row r="3" spans="1:17" ht="36.75" customHeight="1" x14ac:dyDescent="0.25">
      <c r="A3" s="110" t="s">
        <v>587</v>
      </c>
      <c r="B3" s="110" t="s">
        <v>580</v>
      </c>
      <c r="C3" s="151" t="s">
        <v>588</v>
      </c>
      <c r="D3" s="151"/>
      <c r="E3" s="111" t="str">
        <f>TEXT(A5,"0,0")</f>
        <v>0,3</v>
      </c>
      <c r="G3" s="108"/>
      <c r="H3" s="152" t="s">
        <v>589</v>
      </c>
      <c r="I3" s="152"/>
      <c r="J3" s="152"/>
      <c r="K3" s="88"/>
      <c r="L3" s="153" t="s">
        <v>637</v>
      </c>
      <c r="M3" s="153"/>
      <c r="N3" s="153"/>
      <c r="O3" s="153"/>
      <c r="P3" s="153"/>
      <c r="Q3" s="153"/>
    </row>
    <row r="4" spans="1:17" s="87" customFormat="1" ht="45" x14ac:dyDescent="0.25">
      <c r="A4" s="112" t="s">
        <v>591</v>
      </c>
      <c r="B4" s="112" t="s">
        <v>592</v>
      </c>
      <c r="C4" s="112" t="s">
        <v>593</v>
      </c>
      <c r="D4" s="112" t="s">
        <v>594</v>
      </c>
      <c r="E4" s="112" t="s">
        <v>595</v>
      </c>
      <c r="G4" s="113" t="s">
        <v>596</v>
      </c>
      <c r="H4" s="109">
        <v>436</v>
      </c>
      <c r="I4" s="109">
        <v>525</v>
      </c>
      <c r="J4" s="109">
        <v>626</v>
      </c>
      <c r="L4" s="95" t="s">
        <v>597</v>
      </c>
      <c r="M4" s="95" t="s">
        <v>557</v>
      </c>
      <c r="N4" s="94" t="s">
        <v>597</v>
      </c>
      <c r="O4" s="94" t="s">
        <v>573</v>
      </c>
      <c r="P4" s="93" t="s">
        <v>597</v>
      </c>
      <c r="Q4" s="93" t="s">
        <v>574</v>
      </c>
    </row>
    <row r="5" spans="1:17" x14ac:dyDescent="0.25">
      <c r="A5" s="105">
        <f>'Estadistico resumen'!Z5</f>
        <v>0.28854989849459045</v>
      </c>
      <c r="B5" s="106">
        <f>'Estadistico resumen'!AB5</f>
        <v>41.9</v>
      </c>
      <c r="C5" s="99">
        <v>1</v>
      </c>
      <c r="D5" s="107">
        <v>2</v>
      </c>
      <c r="E5" s="104">
        <f>((A5*B5)+(C5*D5))/(B5+D5)</f>
        <v>0.32096220380235396</v>
      </c>
      <c r="G5" s="99">
        <v>1</v>
      </c>
      <c r="H5" s="88">
        <v>1</v>
      </c>
      <c r="I5" s="88">
        <v>5</v>
      </c>
      <c r="J5" s="1">
        <v>2</v>
      </c>
      <c r="L5" s="99" t="s">
        <v>638</v>
      </c>
      <c r="M5" s="96">
        <v>1</v>
      </c>
      <c r="N5" s="99" t="s">
        <v>598</v>
      </c>
      <c r="O5" s="97">
        <v>5</v>
      </c>
      <c r="P5" s="99" t="s">
        <v>598</v>
      </c>
      <c r="Q5" s="98">
        <v>2</v>
      </c>
    </row>
    <row r="6" spans="1:17" x14ac:dyDescent="0.25">
      <c r="A6" s="102">
        <f t="shared" ref="A6:B30" si="0">A5</f>
        <v>0.28854989849459045</v>
      </c>
      <c r="B6" s="103">
        <f t="shared" si="0"/>
        <v>41.9</v>
      </c>
      <c r="C6" s="99">
        <v>2</v>
      </c>
      <c r="D6" s="99">
        <f t="shared" ref="D6:D69" si="1">D5</f>
        <v>2</v>
      </c>
      <c r="E6" s="104">
        <f t="shared" ref="E6:E69" si="2">((A6*B6)+(C6*D6))/(B6+D6)</f>
        <v>0.36652029036271844</v>
      </c>
      <c r="G6" s="99">
        <v>2</v>
      </c>
      <c r="H6" s="88">
        <v>1</v>
      </c>
      <c r="I6" s="88">
        <v>2</v>
      </c>
      <c r="J6" s="1">
        <v>1</v>
      </c>
      <c r="L6" s="101"/>
      <c r="M6" s="101"/>
      <c r="N6" s="99" t="s">
        <v>639</v>
      </c>
      <c r="O6" s="97">
        <v>2</v>
      </c>
      <c r="P6" s="99" t="s">
        <v>640</v>
      </c>
      <c r="Q6" s="98">
        <v>1</v>
      </c>
    </row>
    <row r="7" spans="1:17" x14ac:dyDescent="0.25">
      <c r="A7" s="102">
        <f t="shared" si="0"/>
        <v>0.28854989849459045</v>
      </c>
      <c r="B7" s="103">
        <f t="shared" si="0"/>
        <v>41.9</v>
      </c>
      <c r="C7" s="99">
        <v>3</v>
      </c>
      <c r="D7" s="99">
        <f t="shared" si="1"/>
        <v>2</v>
      </c>
      <c r="E7" s="104">
        <f t="shared" si="2"/>
        <v>0.41207837692308291</v>
      </c>
      <c r="G7" s="99">
        <v>3</v>
      </c>
      <c r="H7" s="88">
        <v>1</v>
      </c>
      <c r="I7" s="88">
        <v>2</v>
      </c>
      <c r="J7" s="1">
        <v>1</v>
      </c>
      <c r="L7" s="101"/>
      <c r="M7" s="101"/>
      <c r="N7" s="99" t="s">
        <v>641</v>
      </c>
      <c r="O7" s="97">
        <v>1</v>
      </c>
      <c r="P7" s="101"/>
      <c r="Q7" s="101"/>
    </row>
    <row r="8" spans="1:17" x14ac:dyDescent="0.25">
      <c r="A8" s="102">
        <f t="shared" si="0"/>
        <v>0.28854989849459045</v>
      </c>
      <c r="B8" s="103">
        <f t="shared" si="0"/>
        <v>41.9</v>
      </c>
      <c r="C8" s="99">
        <v>4</v>
      </c>
      <c r="D8" s="99">
        <f t="shared" si="1"/>
        <v>2</v>
      </c>
      <c r="E8" s="104">
        <f t="shared" si="2"/>
        <v>0.45763646348344739</v>
      </c>
      <c r="G8" s="99">
        <v>4</v>
      </c>
      <c r="H8" s="88">
        <v>1</v>
      </c>
      <c r="I8" s="88">
        <v>1</v>
      </c>
      <c r="J8" s="1">
        <v>1</v>
      </c>
      <c r="L8" s="101"/>
      <c r="M8" s="101"/>
      <c r="N8" s="99"/>
      <c r="O8" s="101"/>
      <c r="P8" s="101"/>
      <c r="Q8" s="101"/>
    </row>
    <row r="9" spans="1:17" x14ac:dyDescent="0.25">
      <c r="A9" s="102">
        <f t="shared" si="0"/>
        <v>0.28854989849459045</v>
      </c>
      <c r="B9" s="103">
        <f t="shared" si="0"/>
        <v>41.9</v>
      </c>
      <c r="C9" s="99">
        <v>5</v>
      </c>
      <c r="D9" s="99">
        <f t="shared" si="1"/>
        <v>2</v>
      </c>
      <c r="E9" s="104">
        <f t="shared" si="2"/>
        <v>0.50319455004381186</v>
      </c>
      <c r="G9" s="99">
        <v>5</v>
      </c>
      <c r="H9" s="88">
        <v>1</v>
      </c>
      <c r="I9" s="88">
        <v>1</v>
      </c>
      <c r="J9" s="1">
        <v>1</v>
      </c>
      <c r="L9" s="101"/>
      <c r="M9" s="101"/>
      <c r="N9" s="99"/>
      <c r="O9" s="101"/>
      <c r="P9" s="101"/>
      <c r="Q9" s="101"/>
    </row>
    <row r="10" spans="1:17" x14ac:dyDescent="0.25">
      <c r="A10" s="102">
        <f t="shared" si="0"/>
        <v>0.28854989849459045</v>
      </c>
      <c r="B10" s="103">
        <f t="shared" si="0"/>
        <v>41.9</v>
      </c>
      <c r="C10" s="99">
        <v>6</v>
      </c>
      <c r="D10" s="99">
        <f t="shared" si="1"/>
        <v>2</v>
      </c>
      <c r="E10" s="104">
        <f t="shared" si="2"/>
        <v>0.54875263660417628</v>
      </c>
      <c r="G10" s="99">
        <v>6</v>
      </c>
      <c r="H10" s="88">
        <v>1</v>
      </c>
      <c r="I10" s="88">
        <v>1</v>
      </c>
      <c r="J10" s="1">
        <v>1</v>
      </c>
      <c r="L10" s="101"/>
      <c r="M10" s="101"/>
      <c r="N10" s="99"/>
      <c r="O10" s="101"/>
      <c r="P10" s="101"/>
      <c r="Q10" s="101"/>
    </row>
    <row r="11" spans="1:17" x14ac:dyDescent="0.25">
      <c r="A11" s="102">
        <f t="shared" si="0"/>
        <v>0.28854989849459045</v>
      </c>
      <c r="B11" s="103">
        <f t="shared" si="0"/>
        <v>41.9</v>
      </c>
      <c r="C11" s="99">
        <v>7</v>
      </c>
      <c r="D11" s="99">
        <f t="shared" si="1"/>
        <v>2</v>
      </c>
      <c r="E11" s="104">
        <f t="shared" si="2"/>
        <v>0.59431072316454081</v>
      </c>
      <c r="G11" s="99">
        <v>7</v>
      </c>
      <c r="H11" s="88">
        <v>1</v>
      </c>
      <c r="I11" s="88">
        <v>1</v>
      </c>
      <c r="J11" s="1">
        <v>1</v>
      </c>
      <c r="L11" s="101"/>
      <c r="M11" s="101"/>
      <c r="N11" s="99"/>
      <c r="O11" s="101"/>
      <c r="P11" s="101"/>
      <c r="Q11" s="101"/>
    </row>
    <row r="12" spans="1:17" x14ac:dyDescent="0.25">
      <c r="A12" s="102">
        <f t="shared" si="0"/>
        <v>0.28854989849459045</v>
      </c>
      <c r="B12" s="103">
        <f t="shared" si="0"/>
        <v>41.9</v>
      </c>
      <c r="C12" s="99">
        <v>8</v>
      </c>
      <c r="D12" s="99">
        <f t="shared" si="1"/>
        <v>2</v>
      </c>
      <c r="E12" s="104">
        <f t="shared" si="2"/>
        <v>0.63986880972490523</v>
      </c>
      <c r="G12" s="99">
        <v>8</v>
      </c>
      <c r="H12" s="88">
        <v>1</v>
      </c>
      <c r="I12" s="88">
        <v>1</v>
      </c>
      <c r="J12" s="1">
        <v>1</v>
      </c>
      <c r="L12" s="101"/>
      <c r="M12" s="101"/>
      <c r="N12" s="99"/>
      <c r="O12" s="101"/>
      <c r="P12" s="101"/>
      <c r="Q12" s="101"/>
    </row>
    <row r="13" spans="1:17" x14ac:dyDescent="0.25">
      <c r="A13" s="102">
        <f t="shared" si="0"/>
        <v>0.28854989849459045</v>
      </c>
      <c r="B13" s="103">
        <f t="shared" si="0"/>
        <v>41.9</v>
      </c>
      <c r="C13" s="99">
        <v>9</v>
      </c>
      <c r="D13" s="99">
        <f t="shared" si="1"/>
        <v>2</v>
      </c>
      <c r="E13" s="104">
        <f t="shared" si="2"/>
        <v>0.68542689628526965</v>
      </c>
      <c r="G13" s="99">
        <v>9</v>
      </c>
      <c r="H13" s="88">
        <v>1</v>
      </c>
      <c r="I13" s="88">
        <v>1</v>
      </c>
      <c r="J13" s="1">
        <v>1</v>
      </c>
      <c r="L13" s="101"/>
      <c r="M13" s="101"/>
      <c r="N13" s="99"/>
      <c r="O13" s="101"/>
      <c r="P13" s="101"/>
      <c r="Q13" s="101"/>
    </row>
    <row r="14" spans="1:17" x14ac:dyDescent="0.25">
      <c r="A14" s="102">
        <f t="shared" si="0"/>
        <v>0.28854989849459045</v>
      </c>
      <c r="B14" s="103">
        <f t="shared" si="0"/>
        <v>41.9</v>
      </c>
      <c r="C14" s="99">
        <v>10</v>
      </c>
      <c r="D14" s="99">
        <f t="shared" si="1"/>
        <v>2</v>
      </c>
      <c r="E14" s="104">
        <f t="shared" si="2"/>
        <v>0.73098498284563429</v>
      </c>
      <c r="G14" s="99">
        <v>10</v>
      </c>
      <c r="H14" s="88">
        <v>1</v>
      </c>
      <c r="I14" s="88">
        <v>1</v>
      </c>
      <c r="J14" s="1">
        <v>1</v>
      </c>
      <c r="L14" s="101"/>
      <c r="M14" s="101"/>
      <c r="N14" s="99"/>
      <c r="O14" s="101"/>
      <c r="P14" s="101"/>
      <c r="Q14" s="101"/>
    </row>
    <row r="15" spans="1:17" x14ac:dyDescent="0.25">
      <c r="A15" s="102">
        <f t="shared" si="0"/>
        <v>0.28854989849459045</v>
      </c>
      <c r="B15" s="103">
        <f t="shared" si="0"/>
        <v>41.9</v>
      </c>
      <c r="C15" s="99">
        <v>11</v>
      </c>
      <c r="D15" s="99">
        <f t="shared" si="1"/>
        <v>2</v>
      </c>
      <c r="E15" s="104">
        <f t="shared" si="2"/>
        <v>0.77654306940599871</v>
      </c>
      <c r="G15" s="99">
        <v>11</v>
      </c>
      <c r="H15" s="88">
        <v>1</v>
      </c>
      <c r="I15" s="88">
        <v>1</v>
      </c>
      <c r="J15" s="1">
        <v>1</v>
      </c>
      <c r="L15" s="101"/>
      <c r="M15" s="101"/>
      <c r="N15" s="99"/>
      <c r="O15" s="101"/>
      <c r="P15" s="101"/>
      <c r="Q15" s="101"/>
    </row>
    <row r="16" spans="1:17" x14ac:dyDescent="0.25">
      <c r="A16" s="102">
        <f t="shared" si="0"/>
        <v>0.28854989849459045</v>
      </c>
      <c r="B16" s="103">
        <f t="shared" si="0"/>
        <v>41.9</v>
      </c>
      <c r="C16" s="99">
        <v>12</v>
      </c>
      <c r="D16" s="99">
        <f t="shared" si="1"/>
        <v>2</v>
      </c>
      <c r="E16" s="104">
        <f t="shared" si="2"/>
        <v>0.82210115596636313</v>
      </c>
      <c r="G16" s="99">
        <v>12</v>
      </c>
      <c r="H16" s="88">
        <v>1</v>
      </c>
      <c r="I16" s="88">
        <v>1</v>
      </c>
      <c r="J16" s="1">
        <v>1</v>
      </c>
      <c r="L16" s="101"/>
      <c r="M16" s="101"/>
      <c r="N16" s="99"/>
      <c r="O16" s="101"/>
      <c r="P16" s="101"/>
      <c r="Q16" s="101"/>
    </row>
    <row r="17" spans="1:17" x14ac:dyDescent="0.25">
      <c r="A17" s="102">
        <f t="shared" si="0"/>
        <v>0.28854989849459045</v>
      </c>
      <c r="B17" s="103">
        <f t="shared" si="0"/>
        <v>41.9</v>
      </c>
      <c r="C17" s="99">
        <v>13</v>
      </c>
      <c r="D17" s="99">
        <f t="shared" si="1"/>
        <v>2</v>
      </c>
      <c r="E17" s="104">
        <f t="shared" si="2"/>
        <v>0.86765924252672766</v>
      </c>
      <c r="G17" s="99">
        <v>13</v>
      </c>
      <c r="H17" s="88">
        <v>1</v>
      </c>
      <c r="I17" s="88">
        <v>1</v>
      </c>
      <c r="J17" s="1">
        <v>1</v>
      </c>
      <c r="L17" s="101"/>
      <c r="M17" s="101"/>
      <c r="N17" s="99"/>
      <c r="O17" s="101"/>
      <c r="P17" s="101"/>
      <c r="Q17" s="101"/>
    </row>
    <row r="18" spans="1:17" x14ac:dyDescent="0.25">
      <c r="A18" s="102">
        <f t="shared" si="0"/>
        <v>0.28854989849459045</v>
      </c>
      <c r="B18" s="103">
        <f t="shared" si="0"/>
        <v>41.9</v>
      </c>
      <c r="C18" s="99">
        <v>14</v>
      </c>
      <c r="D18" s="99">
        <f t="shared" si="1"/>
        <v>2</v>
      </c>
      <c r="E18" s="104">
        <f t="shared" si="2"/>
        <v>0.91321732908709208</v>
      </c>
      <c r="G18" s="99">
        <v>14</v>
      </c>
      <c r="H18" s="88">
        <v>1</v>
      </c>
      <c r="I18" s="88">
        <v>1</v>
      </c>
      <c r="J18" s="1">
        <v>1</v>
      </c>
      <c r="L18" s="101"/>
      <c r="M18" s="101"/>
      <c r="N18" s="100"/>
      <c r="O18" s="101"/>
      <c r="P18" s="101"/>
      <c r="Q18" s="101"/>
    </row>
    <row r="19" spans="1:17" x14ac:dyDescent="0.25">
      <c r="A19" s="102">
        <f t="shared" si="0"/>
        <v>0.28854989849459045</v>
      </c>
      <c r="B19" s="103">
        <f t="shared" si="0"/>
        <v>41.9</v>
      </c>
      <c r="C19" s="99">
        <v>15</v>
      </c>
      <c r="D19" s="99">
        <f t="shared" si="1"/>
        <v>2</v>
      </c>
      <c r="E19" s="104">
        <f t="shared" si="2"/>
        <v>0.95877541564745661</v>
      </c>
      <c r="G19" s="99">
        <v>15</v>
      </c>
      <c r="H19" s="88">
        <v>1</v>
      </c>
      <c r="I19" s="88">
        <v>1</v>
      </c>
      <c r="J19" s="1">
        <v>1</v>
      </c>
    </row>
    <row r="20" spans="1:17" x14ac:dyDescent="0.25">
      <c r="A20" s="102">
        <f t="shared" si="0"/>
        <v>0.28854989849459045</v>
      </c>
      <c r="B20" s="103">
        <f t="shared" si="0"/>
        <v>41.9</v>
      </c>
      <c r="C20" s="99">
        <v>16</v>
      </c>
      <c r="D20" s="99">
        <f t="shared" si="1"/>
        <v>2</v>
      </c>
      <c r="E20" s="104">
        <f t="shared" si="2"/>
        <v>1.004333502207821</v>
      </c>
      <c r="G20" s="99">
        <v>16</v>
      </c>
      <c r="H20" s="88">
        <v>1</v>
      </c>
      <c r="I20" s="88">
        <v>1</v>
      </c>
      <c r="J20" s="1">
        <v>1</v>
      </c>
    </row>
    <row r="21" spans="1:17" x14ac:dyDescent="0.25">
      <c r="A21" s="102">
        <f t="shared" si="0"/>
        <v>0.28854989849459045</v>
      </c>
      <c r="B21" s="103">
        <f t="shared" si="0"/>
        <v>41.9</v>
      </c>
      <c r="C21" s="99">
        <v>17</v>
      </c>
      <c r="D21" s="99">
        <f t="shared" si="1"/>
        <v>2</v>
      </c>
      <c r="E21" s="104">
        <f t="shared" si="2"/>
        <v>1.0498915887681854</v>
      </c>
      <c r="G21" s="99">
        <v>17</v>
      </c>
      <c r="H21" s="88">
        <v>1</v>
      </c>
      <c r="I21" s="88">
        <v>1</v>
      </c>
      <c r="J21" s="1">
        <v>1</v>
      </c>
    </row>
    <row r="22" spans="1:17" x14ac:dyDescent="0.25">
      <c r="A22" s="102">
        <f t="shared" si="0"/>
        <v>0.28854989849459045</v>
      </c>
      <c r="B22" s="103">
        <f t="shared" si="0"/>
        <v>41.9</v>
      </c>
      <c r="C22" s="99">
        <v>18</v>
      </c>
      <c r="D22" s="99">
        <f t="shared" si="1"/>
        <v>2</v>
      </c>
      <c r="E22" s="104">
        <f t="shared" si="2"/>
        <v>1.0954496753285499</v>
      </c>
      <c r="G22" s="99">
        <v>18</v>
      </c>
      <c r="H22" s="88">
        <v>1</v>
      </c>
      <c r="I22" s="88">
        <v>1</v>
      </c>
      <c r="J22" s="1">
        <v>1</v>
      </c>
    </row>
    <row r="23" spans="1:17" x14ac:dyDescent="0.25">
      <c r="A23" s="102">
        <f t="shared" si="0"/>
        <v>0.28854989849459045</v>
      </c>
      <c r="B23" s="103">
        <f t="shared" si="0"/>
        <v>41.9</v>
      </c>
      <c r="C23" s="99">
        <v>19</v>
      </c>
      <c r="D23" s="99">
        <f t="shared" si="1"/>
        <v>2</v>
      </c>
      <c r="E23" s="104">
        <f t="shared" si="2"/>
        <v>1.1410077618889145</v>
      </c>
      <c r="G23" s="99">
        <v>19</v>
      </c>
      <c r="H23" s="88">
        <v>1</v>
      </c>
      <c r="I23" s="88">
        <v>1</v>
      </c>
      <c r="J23" s="1">
        <v>1</v>
      </c>
    </row>
    <row r="24" spans="1:17" x14ac:dyDescent="0.25">
      <c r="A24" s="102">
        <f t="shared" si="0"/>
        <v>0.28854989849459045</v>
      </c>
      <c r="B24" s="103">
        <f t="shared" si="0"/>
        <v>41.9</v>
      </c>
      <c r="C24" s="99">
        <v>20</v>
      </c>
      <c r="D24" s="99">
        <f t="shared" si="1"/>
        <v>2</v>
      </c>
      <c r="E24" s="104">
        <f t="shared" si="2"/>
        <v>1.1865658484492789</v>
      </c>
      <c r="G24" s="99">
        <v>20</v>
      </c>
      <c r="H24" s="88">
        <v>1</v>
      </c>
      <c r="I24" s="88">
        <v>1</v>
      </c>
      <c r="J24" s="1">
        <v>1</v>
      </c>
    </row>
    <row r="25" spans="1:17" x14ac:dyDescent="0.25">
      <c r="A25" s="102">
        <f t="shared" si="0"/>
        <v>0.28854989849459045</v>
      </c>
      <c r="B25" s="103">
        <f t="shared" si="0"/>
        <v>41.9</v>
      </c>
      <c r="C25" s="99">
        <v>21</v>
      </c>
      <c r="D25" s="99">
        <f t="shared" si="1"/>
        <v>2</v>
      </c>
      <c r="E25" s="104">
        <f t="shared" si="2"/>
        <v>1.2321239350096433</v>
      </c>
      <c r="G25" s="99">
        <v>21</v>
      </c>
      <c r="H25" s="88">
        <v>1</v>
      </c>
      <c r="I25" s="88">
        <v>1</v>
      </c>
      <c r="J25" s="1">
        <v>1</v>
      </c>
    </row>
    <row r="26" spans="1:17" x14ac:dyDescent="0.25">
      <c r="A26" s="102">
        <f t="shared" si="0"/>
        <v>0.28854989849459045</v>
      </c>
      <c r="B26" s="103">
        <f t="shared" si="0"/>
        <v>41.9</v>
      </c>
      <c r="C26" s="99">
        <v>22</v>
      </c>
      <c r="D26" s="99">
        <f t="shared" si="1"/>
        <v>2</v>
      </c>
      <c r="E26" s="104">
        <f t="shared" si="2"/>
        <v>1.2776820215700078</v>
      </c>
      <c r="G26" s="99">
        <v>22</v>
      </c>
      <c r="H26" s="88">
        <v>1</v>
      </c>
      <c r="I26" s="88">
        <v>1</v>
      </c>
      <c r="J26" s="1">
        <v>1</v>
      </c>
    </row>
    <row r="27" spans="1:17" x14ac:dyDescent="0.25">
      <c r="A27" s="102">
        <f t="shared" si="0"/>
        <v>0.28854989849459045</v>
      </c>
      <c r="B27" s="103">
        <f t="shared" si="0"/>
        <v>41.9</v>
      </c>
      <c r="C27" s="99">
        <v>23</v>
      </c>
      <c r="D27" s="99">
        <f t="shared" si="1"/>
        <v>2</v>
      </c>
      <c r="E27" s="104">
        <f t="shared" si="2"/>
        <v>1.3232401081303724</v>
      </c>
      <c r="G27" s="99">
        <v>23</v>
      </c>
      <c r="H27" s="88">
        <v>1</v>
      </c>
      <c r="I27" s="88">
        <v>1</v>
      </c>
      <c r="J27" s="1">
        <v>1</v>
      </c>
    </row>
    <row r="28" spans="1:17" x14ac:dyDescent="0.25">
      <c r="A28" s="102">
        <f t="shared" si="0"/>
        <v>0.28854989849459045</v>
      </c>
      <c r="B28" s="103">
        <f t="shared" si="0"/>
        <v>41.9</v>
      </c>
      <c r="C28" s="99">
        <v>24</v>
      </c>
      <c r="D28" s="99">
        <f t="shared" si="1"/>
        <v>2</v>
      </c>
      <c r="E28" s="104">
        <f t="shared" si="2"/>
        <v>1.3687981946907368</v>
      </c>
      <c r="G28" s="99">
        <v>24</v>
      </c>
      <c r="H28" s="88">
        <v>1</v>
      </c>
      <c r="I28" s="88">
        <v>1</v>
      </c>
      <c r="J28" s="1">
        <v>1</v>
      </c>
    </row>
    <row r="29" spans="1:17" x14ac:dyDescent="0.25">
      <c r="A29" s="102">
        <f t="shared" si="0"/>
        <v>0.28854989849459045</v>
      </c>
      <c r="B29" s="103">
        <f t="shared" si="0"/>
        <v>41.9</v>
      </c>
      <c r="C29" s="99">
        <v>25</v>
      </c>
      <c r="D29" s="99">
        <f t="shared" si="1"/>
        <v>2</v>
      </c>
      <c r="E29" s="104">
        <f t="shared" si="2"/>
        <v>1.4143562812511012</v>
      </c>
      <c r="G29" s="99">
        <v>25</v>
      </c>
      <c r="H29" s="88">
        <v>1</v>
      </c>
      <c r="I29" s="88">
        <v>1</v>
      </c>
      <c r="J29" s="1">
        <v>1</v>
      </c>
    </row>
    <row r="30" spans="1:17" x14ac:dyDescent="0.25">
      <c r="A30" s="102">
        <f t="shared" si="0"/>
        <v>0.28854989849459045</v>
      </c>
      <c r="B30" s="103">
        <f t="shared" si="0"/>
        <v>41.9</v>
      </c>
      <c r="C30" s="99">
        <v>26</v>
      </c>
      <c r="D30" s="99">
        <f t="shared" si="1"/>
        <v>2</v>
      </c>
      <c r="E30" s="104">
        <f t="shared" si="2"/>
        <v>1.4599143678114657</v>
      </c>
      <c r="G30" s="99">
        <v>26</v>
      </c>
      <c r="H30" s="88">
        <v>1</v>
      </c>
      <c r="I30" s="88">
        <v>1</v>
      </c>
      <c r="J30" s="1">
        <v>1</v>
      </c>
    </row>
    <row r="31" spans="1:17" x14ac:dyDescent="0.25">
      <c r="A31" s="102">
        <f t="shared" ref="A31:B46" si="3">A30</f>
        <v>0.28854989849459045</v>
      </c>
      <c r="B31" s="103">
        <f t="shared" si="3"/>
        <v>41.9</v>
      </c>
      <c r="C31" s="99">
        <v>27</v>
      </c>
      <c r="D31" s="99">
        <f t="shared" si="1"/>
        <v>2</v>
      </c>
      <c r="E31" s="104">
        <f t="shared" si="2"/>
        <v>1.5054724543718301</v>
      </c>
      <c r="G31" s="99">
        <v>27</v>
      </c>
      <c r="H31" s="88">
        <v>1</v>
      </c>
      <c r="I31" s="88">
        <v>1</v>
      </c>
      <c r="J31" s="1">
        <v>1</v>
      </c>
    </row>
    <row r="32" spans="1:17" x14ac:dyDescent="0.25">
      <c r="A32" s="102">
        <f t="shared" si="3"/>
        <v>0.28854989849459045</v>
      </c>
      <c r="B32" s="103">
        <f t="shared" si="3"/>
        <v>41.9</v>
      </c>
      <c r="C32" s="99">
        <v>28</v>
      </c>
      <c r="D32" s="99">
        <f t="shared" si="1"/>
        <v>2</v>
      </c>
      <c r="E32" s="104">
        <f t="shared" si="2"/>
        <v>1.5510305409321947</v>
      </c>
      <c r="G32" s="99">
        <v>28</v>
      </c>
      <c r="H32" s="88">
        <v>1</v>
      </c>
      <c r="I32" s="88">
        <v>1</v>
      </c>
      <c r="J32" s="1">
        <v>1</v>
      </c>
    </row>
    <row r="33" spans="1:10" x14ac:dyDescent="0.25">
      <c r="A33" s="102">
        <f t="shared" si="3"/>
        <v>0.28854989849459045</v>
      </c>
      <c r="B33" s="103">
        <f t="shared" si="3"/>
        <v>41.9</v>
      </c>
      <c r="C33" s="99">
        <v>29</v>
      </c>
      <c r="D33" s="99">
        <f t="shared" si="1"/>
        <v>2</v>
      </c>
      <c r="E33" s="104">
        <f t="shared" si="2"/>
        <v>1.5965886274925591</v>
      </c>
      <c r="G33" s="99">
        <v>29</v>
      </c>
      <c r="H33" s="88">
        <v>1</v>
      </c>
      <c r="I33" s="88">
        <v>1</v>
      </c>
      <c r="J33" s="1">
        <v>1</v>
      </c>
    </row>
    <row r="34" spans="1:10" x14ac:dyDescent="0.25">
      <c r="A34" s="102">
        <f t="shared" si="3"/>
        <v>0.28854989849459045</v>
      </c>
      <c r="B34" s="103">
        <f t="shared" si="3"/>
        <v>41.9</v>
      </c>
      <c r="C34" s="99">
        <v>30</v>
      </c>
      <c r="D34" s="99">
        <f t="shared" si="1"/>
        <v>2</v>
      </c>
      <c r="E34" s="104">
        <f t="shared" si="2"/>
        <v>1.6421467140529236</v>
      </c>
      <c r="G34" s="99">
        <v>30</v>
      </c>
      <c r="H34" s="88">
        <v>1</v>
      </c>
      <c r="I34" s="88">
        <v>1</v>
      </c>
      <c r="J34" s="1">
        <v>1</v>
      </c>
    </row>
    <row r="35" spans="1:10" x14ac:dyDescent="0.25">
      <c r="A35" s="102">
        <f t="shared" si="3"/>
        <v>0.28854989849459045</v>
      </c>
      <c r="B35" s="103">
        <f t="shared" si="3"/>
        <v>41.9</v>
      </c>
      <c r="C35" s="99">
        <v>31</v>
      </c>
      <c r="D35" s="99">
        <f t="shared" si="1"/>
        <v>2</v>
      </c>
      <c r="E35" s="104">
        <f t="shared" si="2"/>
        <v>1.687704800613288</v>
      </c>
      <c r="G35" s="99">
        <v>40</v>
      </c>
      <c r="H35" s="88">
        <v>1</v>
      </c>
      <c r="I35" s="88">
        <v>1</v>
      </c>
      <c r="J35" s="1">
        <v>1</v>
      </c>
    </row>
    <row r="36" spans="1:10" x14ac:dyDescent="0.25">
      <c r="A36" s="102">
        <f t="shared" si="3"/>
        <v>0.28854989849459045</v>
      </c>
      <c r="B36" s="103">
        <f t="shared" si="3"/>
        <v>41.9</v>
      </c>
      <c r="C36" s="99">
        <v>32</v>
      </c>
      <c r="D36" s="99">
        <f t="shared" si="1"/>
        <v>2</v>
      </c>
      <c r="E36" s="104">
        <f t="shared" si="2"/>
        <v>1.7332628871736524</v>
      </c>
      <c r="G36" s="99">
        <v>50</v>
      </c>
      <c r="H36" s="88">
        <v>1</v>
      </c>
      <c r="I36" s="88">
        <v>1</v>
      </c>
      <c r="J36" s="1">
        <v>1</v>
      </c>
    </row>
    <row r="37" spans="1:10" x14ac:dyDescent="0.25">
      <c r="A37" s="102">
        <f t="shared" si="3"/>
        <v>0.28854989849459045</v>
      </c>
      <c r="B37" s="103">
        <f t="shared" si="3"/>
        <v>41.9</v>
      </c>
      <c r="C37" s="99">
        <v>33</v>
      </c>
      <c r="D37" s="99">
        <f t="shared" si="1"/>
        <v>2</v>
      </c>
      <c r="E37" s="104">
        <f t="shared" si="2"/>
        <v>1.778820973734017</v>
      </c>
      <c r="G37" s="99">
        <v>60</v>
      </c>
      <c r="H37" s="88">
        <v>1</v>
      </c>
      <c r="I37" s="88">
        <v>1</v>
      </c>
      <c r="J37" s="1">
        <v>1</v>
      </c>
    </row>
    <row r="38" spans="1:10" x14ac:dyDescent="0.25">
      <c r="A38" s="102">
        <f t="shared" si="3"/>
        <v>0.28854989849459045</v>
      </c>
      <c r="B38" s="103">
        <f t="shared" si="3"/>
        <v>41.9</v>
      </c>
      <c r="C38" s="99">
        <v>34</v>
      </c>
      <c r="D38" s="99">
        <f t="shared" si="1"/>
        <v>2</v>
      </c>
      <c r="E38" s="104">
        <f t="shared" si="2"/>
        <v>1.8243790602943815</v>
      </c>
      <c r="G38" s="99">
        <v>70</v>
      </c>
      <c r="H38" s="88">
        <v>1</v>
      </c>
      <c r="I38" s="88">
        <v>1</v>
      </c>
      <c r="J38" s="1">
        <v>1</v>
      </c>
    </row>
    <row r="39" spans="1:10" x14ac:dyDescent="0.25">
      <c r="A39" s="102">
        <f t="shared" si="3"/>
        <v>0.28854989849459045</v>
      </c>
      <c r="B39" s="103">
        <f t="shared" si="3"/>
        <v>41.9</v>
      </c>
      <c r="C39" s="99">
        <v>35</v>
      </c>
      <c r="D39" s="99">
        <f t="shared" si="1"/>
        <v>2</v>
      </c>
      <c r="E39" s="104">
        <f t="shared" si="2"/>
        <v>1.8699371468547459</v>
      </c>
      <c r="G39" s="99">
        <v>80</v>
      </c>
      <c r="H39" s="88">
        <v>1</v>
      </c>
      <c r="I39" s="88">
        <v>1</v>
      </c>
      <c r="J39" s="1">
        <v>1</v>
      </c>
    </row>
    <row r="40" spans="1:10" x14ac:dyDescent="0.25">
      <c r="A40" s="102">
        <f t="shared" si="3"/>
        <v>0.28854989849459045</v>
      </c>
      <c r="B40" s="103">
        <f t="shared" si="3"/>
        <v>41.9</v>
      </c>
      <c r="C40" s="99">
        <v>36</v>
      </c>
      <c r="D40" s="99">
        <f t="shared" si="1"/>
        <v>2</v>
      </c>
      <c r="E40" s="104">
        <f t="shared" si="2"/>
        <v>1.9154952334151103</v>
      </c>
      <c r="G40" s="99">
        <v>150</v>
      </c>
      <c r="H40" s="88">
        <v>1</v>
      </c>
      <c r="I40" s="88">
        <v>1</v>
      </c>
      <c r="J40" s="1">
        <v>1</v>
      </c>
    </row>
    <row r="41" spans="1:10" x14ac:dyDescent="0.25">
      <c r="A41" s="102">
        <f t="shared" si="3"/>
        <v>0.28854989849459045</v>
      </c>
      <c r="B41" s="103">
        <f t="shared" si="3"/>
        <v>41.9</v>
      </c>
      <c r="C41" s="99">
        <v>37</v>
      </c>
      <c r="D41" s="99">
        <f t="shared" si="1"/>
        <v>2</v>
      </c>
      <c r="E41" s="104">
        <f t="shared" si="2"/>
        <v>1.9610533199754749</v>
      </c>
      <c r="G41" s="99">
        <v>200</v>
      </c>
      <c r="H41" s="88">
        <v>1</v>
      </c>
      <c r="I41" s="88">
        <v>1</v>
      </c>
      <c r="J41" s="1">
        <v>1</v>
      </c>
    </row>
    <row r="42" spans="1:10" x14ac:dyDescent="0.25">
      <c r="A42" s="102">
        <f t="shared" si="3"/>
        <v>0.28854989849459045</v>
      </c>
      <c r="B42" s="103">
        <f t="shared" si="3"/>
        <v>41.9</v>
      </c>
      <c r="C42" s="99">
        <v>38</v>
      </c>
      <c r="D42" s="99">
        <f t="shared" si="1"/>
        <v>2</v>
      </c>
      <c r="E42" s="104">
        <f t="shared" si="2"/>
        <v>2.0066114065358391</v>
      </c>
      <c r="G42" s="99">
        <v>500</v>
      </c>
      <c r="H42" s="88">
        <v>1</v>
      </c>
      <c r="I42" s="88">
        <v>1</v>
      </c>
      <c r="J42" s="1">
        <v>1</v>
      </c>
    </row>
    <row r="43" spans="1:10" x14ac:dyDescent="0.25">
      <c r="A43" s="102">
        <f t="shared" si="3"/>
        <v>0.28854989849459045</v>
      </c>
      <c r="B43" s="103">
        <f t="shared" si="3"/>
        <v>41.9</v>
      </c>
      <c r="C43" s="99">
        <v>39</v>
      </c>
      <c r="D43" s="99">
        <f t="shared" si="1"/>
        <v>2</v>
      </c>
      <c r="E43" s="104">
        <f t="shared" si="2"/>
        <v>2.0521694930962036</v>
      </c>
    </row>
    <row r="44" spans="1:10" x14ac:dyDescent="0.25">
      <c r="A44" s="102">
        <f t="shared" si="3"/>
        <v>0.28854989849459045</v>
      </c>
      <c r="B44" s="103">
        <f t="shared" si="3"/>
        <v>41.9</v>
      </c>
      <c r="C44" s="99">
        <v>40</v>
      </c>
      <c r="D44" s="99">
        <f t="shared" si="1"/>
        <v>2</v>
      </c>
      <c r="E44" s="104">
        <f t="shared" si="2"/>
        <v>2.0977275796565684</v>
      </c>
    </row>
    <row r="45" spans="1:10" x14ac:dyDescent="0.25">
      <c r="A45" s="102">
        <f t="shared" si="3"/>
        <v>0.28854989849459045</v>
      </c>
      <c r="B45" s="103">
        <f t="shared" si="3"/>
        <v>41.9</v>
      </c>
      <c r="C45" s="99">
        <v>41</v>
      </c>
      <c r="D45" s="99">
        <f t="shared" si="1"/>
        <v>2</v>
      </c>
      <c r="E45" s="104">
        <f t="shared" si="2"/>
        <v>2.1432856662169328</v>
      </c>
    </row>
    <row r="46" spans="1:10" x14ac:dyDescent="0.25">
      <c r="A46" s="102">
        <f t="shared" si="3"/>
        <v>0.28854989849459045</v>
      </c>
      <c r="B46" s="103">
        <f t="shared" si="3"/>
        <v>41.9</v>
      </c>
      <c r="C46" s="99">
        <v>42</v>
      </c>
      <c r="D46" s="99">
        <f t="shared" si="1"/>
        <v>2</v>
      </c>
      <c r="E46" s="104">
        <f t="shared" si="2"/>
        <v>2.1888437527772973</v>
      </c>
    </row>
    <row r="47" spans="1:10" x14ac:dyDescent="0.25">
      <c r="A47" s="102">
        <f t="shared" ref="A47:B73" si="4">A46</f>
        <v>0.28854989849459045</v>
      </c>
      <c r="B47" s="103">
        <f t="shared" si="4"/>
        <v>41.9</v>
      </c>
      <c r="C47" s="99">
        <v>43</v>
      </c>
      <c r="D47" s="99">
        <f t="shared" si="1"/>
        <v>2</v>
      </c>
      <c r="E47" s="104">
        <f t="shared" si="2"/>
        <v>2.2344018393376617</v>
      </c>
    </row>
    <row r="48" spans="1:10" x14ac:dyDescent="0.25">
      <c r="A48" s="102">
        <f t="shared" si="4"/>
        <v>0.28854989849459045</v>
      </c>
      <c r="B48" s="103">
        <f t="shared" si="4"/>
        <v>41.9</v>
      </c>
      <c r="C48" s="99">
        <v>44</v>
      </c>
      <c r="D48" s="99">
        <f t="shared" si="1"/>
        <v>2</v>
      </c>
      <c r="E48" s="104">
        <f t="shared" si="2"/>
        <v>2.2799599258980261</v>
      </c>
    </row>
    <row r="49" spans="1:5" x14ac:dyDescent="0.25">
      <c r="A49" s="102">
        <f t="shared" si="4"/>
        <v>0.28854989849459045</v>
      </c>
      <c r="B49" s="103">
        <f t="shared" si="4"/>
        <v>41.9</v>
      </c>
      <c r="C49" s="99">
        <v>45</v>
      </c>
      <c r="D49" s="99">
        <f t="shared" si="1"/>
        <v>2</v>
      </c>
      <c r="E49" s="104">
        <f t="shared" si="2"/>
        <v>2.3255180124583905</v>
      </c>
    </row>
    <row r="50" spans="1:5" x14ac:dyDescent="0.25">
      <c r="A50" s="102">
        <f t="shared" si="4"/>
        <v>0.28854989849459045</v>
      </c>
      <c r="B50" s="103">
        <f t="shared" si="4"/>
        <v>41.9</v>
      </c>
      <c r="C50" s="99">
        <v>46</v>
      </c>
      <c r="D50" s="99">
        <f t="shared" si="1"/>
        <v>2</v>
      </c>
      <c r="E50" s="104">
        <f t="shared" si="2"/>
        <v>2.3710760990187549</v>
      </c>
    </row>
    <row r="51" spans="1:5" x14ac:dyDescent="0.25">
      <c r="A51" s="102">
        <f t="shared" si="4"/>
        <v>0.28854989849459045</v>
      </c>
      <c r="B51" s="103">
        <f t="shared" si="4"/>
        <v>41.9</v>
      </c>
      <c r="C51" s="99">
        <v>47</v>
      </c>
      <c r="D51" s="99">
        <f t="shared" si="1"/>
        <v>2</v>
      </c>
      <c r="E51" s="104">
        <f t="shared" si="2"/>
        <v>2.4166341855791194</v>
      </c>
    </row>
    <row r="52" spans="1:5" x14ac:dyDescent="0.25">
      <c r="A52" s="102">
        <f t="shared" si="4"/>
        <v>0.28854989849459045</v>
      </c>
      <c r="B52" s="103">
        <f t="shared" si="4"/>
        <v>41.9</v>
      </c>
      <c r="C52" s="99">
        <v>48</v>
      </c>
      <c r="D52" s="99">
        <f t="shared" si="1"/>
        <v>2</v>
      </c>
      <c r="E52" s="104">
        <f t="shared" si="2"/>
        <v>2.4621922721394838</v>
      </c>
    </row>
    <row r="53" spans="1:5" x14ac:dyDescent="0.25">
      <c r="A53" s="102">
        <f t="shared" si="4"/>
        <v>0.28854989849459045</v>
      </c>
      <c r="B53" s="103">
        <f t="shared" si="4"/>
        <v>41.9</v>
      </c>
      <c r="C53" s="99">
        <v>49</v>
      </c>
      <c r="D53" s="99">
        <f t="shared" si="1"/>
        <v>2</v>
      </c>
      <c r="E53" s="104">
        <f t="shared" si="2"/>
        <v>2.5077503586998486</v>
      </c>
    </row>
    <row r="54" spans="1:5" x14ac:dyDescent="0.25">
      <c r="A54" s="102">
        <f t="shared" si="4"/>
        <v>0.28854989849459045</v>
      </c>
      <c r="B54" s="103">
        <f t="shared" si="4"/>
        <v>41.9</v>
      </c>
      <c r="C54" s="99">
        <v>50</v>
      </c>
      <c r="D54" s="99">
        <f t="shared" si="1"/>
        <v>2</v>
      </c>
      <c r="E54" s="104">
        <f t="shared" si="2"/>
        <v>2.5533084452602131</v>
      </c>
    </row>
    <row r="55" spans="1:5" x14ac:dyDescent="0.25">
      <c r="A55" s="102">
        <f t="shared" si="4"/>
        <v>0.28854989849459045</v>
      </c>
      <c r="B55" s="103">
        <f t="shared" si="4"/>
        <v>41.9</v>
      </c>
      <c r="C55" s="99">
        <v>51</v>
      </c>
      <c r="D55" s="99">
        <f t="shared" si="1"/>
        <v>2</v>
      </c>
      <c r="E55" s="104">
        <f t="shared" si="2"/>
        <v>2.5988665318205775</v>
      </c>
    </row>
    <row r="56" spans="1:5" x14ac:dyDescent="0.25">
      <c r="A56" s="102">
        <f t="shared" si="4"/>
        <v>0.28854989849459045</v>
      </c>
      <c r="B56" s="103">
        <f t="shared" si="4"/>
        <v>41.9</v>
      </c>
      <c r="C56" s="99">
        <v>52</v>
      </c>
      <c r="D56" s="99">
        <f t="shared" si="1"/>
        <v>2</v>
      </c>
      <c r="E56" s="104">
        <f t="shared" si="2"/>
        <v>2.6444246183809419</v>
      </c>
    </row>
    <row r="57" spans="1:5" x14ac:dyDescent="0.25">
      <c r="A57" s="102">
        <f t="shared" si="4"/>
        <v>0.28854989849459045</v>
      </c>
      <c r="B57" s="103">
        <f t="shared" si="4"/>
        <v>41.9</v>
      </c>
      <c r="C57" s="99">
        <v>53</v>
      </c>
      <c r="D57" s="99">
        <f t="shared" si="1"/>
        <v>2</v>
      </c>
      <c r="E57" s="104">
        <f t="shared" si="2"/>
        <v>2.6899827049413063</v>
      </c>
    </row>
    <row r="58" spans="1:5" x14ac:dyDescent="0.25">
      <c r="A58" s="102">
        <f t="shared" si="4"/>
        <v>0.28854989849459045</v>
      </c>
      <c r="B58" s="103">
        <f t="shared" si="4"/>
        <v>41.9</v>
      </c>
      <c r="C58" s="99">
        <v>54</v>
      </c>
      <c r="D58" s="99">
        <f t="shared" si="1"/>
        <v>2</v>
      </c>
      <c r="E58" s="104">
        <f t="shared" si="2"/>
        <v>2.7355407915016707</v>
      </c>
    </row>
    <row r="59" spans="1:5" x14ac:dyDescent="0.25">
      <c r="A59" s="102">
        <f t="shared" si="4"/>
        <v>0.28854989849459045</v>
      </c>
      <c r="B59" s="103">
        <f t="shared" si="4"/>
        <v>41.9</v>
      </c>
      <c r="C59" s="99">
        <v>55</v>
      </c>
      <c r="D59" s="99">
        <f t="shared" si="1"/>
        <v>2</v>
      </c>
      <c r="E59" s="104">
        <f t="shared" si="2"/>
        <v>2.7810988780620352</v>
      </c>
    </row>
    <row r="60" spans="1:5" x14ac:dyDescent="0.25">
      <c r="A60" s="102">
        <f t="shared" si="4"/>
        <v>0.28854989849459045</v>
      </c>
      <c r="B60" s="103">
        <f t="shared" si="4"/>
        <v>41.9</v>
      </c>
      <c r="C60" s="99">
        <v>56</v>
      </c>
      <c r="D60" s="99">
        <f t="shared" si="1"/>
        <v>2</v>
      </c>
      <c r="E60" s="104">
        <f t="shared" si="2"/>
        <v>2.8266569646223996</v>
      </c>
    </row>
    <row r="61" spans="1:5" x14ac:dyDescent="0.25">
      <c r="A61" s="102">
        <f t="shared" si="4"/>
        <v>0.28854989849459045</v>
      </c>
      <c r="B61" s="103">
        <f t="shared" si="4"/>
        <v>41.9</v>
      </c>
      <c r="C61" s="99">
        <v>57</v>
      </c>
      <c r="D61" s="99">
        <f t="shared" si="1"/>
        <v>2</v>
      </c>
      <c r="E61" s="104">
        <f t="shared" si="2"/>
        <v>2.872215051182764</v>
      </c>
    </row>
    <row r="62" spans="1:5" x14ac:dyDescent="0.25">
      <c r="A62" s="102">
        <f t="shared" si="4"/>
        <v>0.28854989849459045</v>
      </c>
      <c r="B62" s="103">
        <f t="shared" si="4"/>
        <v>41.9</v>
      </c>
      <c r="C62" s="99">
        <v>58</v>
      </c>
      <c r="D62" s="99">
        <f t="shared" si="1"/>
        <v>2</v>
      </c>
      <c r="E62" s="104">
        <f t="shared" si="2"/>
        <v>2.9177731377431284</v>
      </c>
    </row>
    <row r="63" spans="1:5" x14ac:dyDescent="0.25">
      <c r="A63" s="102">
        <f t="shared" si="4"/>
        <v>0.28854989849459045</v>
      </c>
      <c r="B63" s="103">
        <f t="shared" si="4"/>
        <v>41.9</v>
      </c>
      <c r="C63" s="99">
        <v>59</v>
      </c>
      <c r="D63" s="99">
        <f t="shared" si="1"/>
        <v>2</v>
      </c>
      <c r="E63" s="104">
        <f t="shared" si="2"/>
        <v>2.9633312243034933</v>
      </c>
    </row>
    <row r="64" spans="1:5" x14ac:dyDescent="0.25">
      <c r="A64" s="102">
        <f t="shared" si="4"/>
        <v>0.28854989849459045</v>
      </c>
      <c r="B64" s="103">
        <f t="shared" si="4"/>
        <v>41.9</v>
      </c>
      <c r="C64" s="99">
        <v>60</v>
      </c>
      <c r="D64" s="99">
        <f t="shared" si="1"/>
        <v>2</v>
      </c>
      <c r="E64" s="104">
        <f t="shared" si="2"/>
        <v>3.0088893108638577</v>
      </c>
    </row>
    <row r="65" spans="1:5" x14ac:dyDescent="0.25">
      <c r="A65" s="102">
        <f t="shared" si="4"/>
        <v>0.28854989849459045</v>
      </c>
      <c r="B65" s="103">
        <f t="shared" si="4"/>
        <v>41.9</v>
      </c>
      <c r="C65" s="99">
        <v>61</v>
      </c>
      <c r="D65" s="99">
        <f t="shared" si="1"/>
        <v>2</v>
      </c>
      <c r="E65" s="104">
        <f t="shared" si="2"/>
        <v>3.0544473974242221</v>
      </c>
    </row>
    <row r="66" spans="1:5" x14ac:dyDescent="0.25">
      <c r="A66" s="102">
        <f t="shared" si="4"/>
        <v>0.28854989849459045</v>
      </c>
      <c r="B66" s="103">
        <f t="shared" si="4"/>
        <v>41.9</v>
      </c>
      <c r="C66" s="99">
        <v>62</v>
      </c>
      <c r="D66" s="99">
        <f t="shared" si="1"/>
        <v>2</v>
      </c>
      <c r="E66" s="104">
        <f t="shared" si="2"/>
        <v>3.1000054839845865</v>
      </c>
    </row>
    <row r="67" spans="1:5" x14ac:dyDescent="0.25">
      <c r="A67" s="102">
        <f t="shared" si="4"/>
        <v>0.28854989849459045</v>
      </c>
      <c r="B67" s="103">
        <f t="shared" si="4"/>
        <v>41.9</v>
      </c>
      <c r="C67" s="99">
        <v>63</v>
      </c>
      <c r="D67" s="99">
        <f t="shared" si="1"/>
        <v>2</v>
      </c>
      <c r="E67" s="104">
        <f t="shared" si="2"/>
        <v>3.1455635705449509</v>
      </c>
    </row>
    <row r="68" spans="1:5" x14ac:dyDescent="0.25">
      <c r="A68" s="102">
        <f t="shared" si="4"/>
        <v>0.28854989849459045</v>
      </c>
      <c r="B68" s="103">
        <f t="shared" si="4"/>
        <v>41.9</v>
      </c>
      <c r="C68" s="99">
        <v>64</v>
      </c>
      <c r="D68" s="99">
        <f t="shared" si="1"/>
        <v>2</v>
      </c>
      <c r="E68" s="104">
        <f t="shared" si="2"/>
        <v>3.1911216571053154</v>
      </c>
    </row>
    <row r="69" spans="1:5" x14ac:dyDescent="0.25">
      <c r="A69" s="102">
        <f t="shared" si="4"/>
        <v>0.28854989849459045</v>
      </c>
      <c r="B69" s="103">
        <f t="shared" si="4"/>
        <v>41.9</v>
      </c>
      <c r="C69" s="99">
        <v>65</v>
      </c>
      <c r="D69" s="99">
        <f t="shared" si="1"/>
        <v>2</v>
      </c>
      <c r="E69" s="104">
        <f t="shared" si="2"/>
        <v>3.2366797436656798</v>
      </c>
    </row>
    <row r="70" spans="1:5" x14ac:dyDescent="0.25">
      <c r="A70" s="102">
        <f t="shared" si="4"/>
        <v>0.28854989849459045</v>
      </c>
      <c r="B70" s="103">
        <f t="shared" si="4"/>
        <v>41.9</v>
      </c>
      <c r="C70" s="99">
        <v>66</v>
      </c>
      <c r="D70" s="99">
        <f t="shared" ref="D70:D79" si="5">D69</f>
        <v>2</v>
      </c>
      <c r="E70" s="104">
        <f t="shared" ref="E70:E79" si="6">((A70*B70)+(C70*D70))/(B70+D70)</f>
        <v>3.2822378302260442</v>
      </c>
    </row>
    <row r="71" spans="1:5" x14ac:dyDescent="0.25">
      <c r="A71" s="102">
        <f t="shared" si="4"/>
        <v>0.28854989849459045</v>
      </c>
      <c r="B71" s="103">
        <f t="shared" si="4"/>
        <v>41.9</v>
      </c>
      <c r="C71" s="99">
        <v>67</v>
      </c>
      <c r="D71" s="99">
        <f t="shared" si="5"/>
        <v>2</v>
      </c>
      <c r="E71" s="104">
        <f t="shared" si="6"/>
        <v>3.3277959167864086</v>
      </c>
    </row>
    <row r="72" spans="1:5" x14ac:dyDescent="0.25">
      <c r="A72" s="102">
        <f t="shared" si="4"/>
        <v>0.28854989849459045</v>
      </c>
      <c r="B72" s="103">
        <f t="shared" si="4"/>
        <v>41.9</v>
      </c>
      <c r="C72" s="99">
        <v>68</v>
      </c>
      <c r="D72" s="99">
        <f t="shared" si="5"/>
        <v>2</v>
      </c>
      <c r="E72" s="104">
        <f t="shared" si="6"/>
        <v>3.3733540033467735</v>
      </c>
    </row>
    <row r="73" spans="1:5" x14ac:dyDescent="0.25">
      <c r="A73" s="102">
        <f t="shared" si="4"/>
        <v>0.28854989849459045</v>
      </c>
      <c r="B73" s="103">
        <f t="shared" si="4"/>
        <v>41.9</v>
      </c>
      <c r="C73" s="99">
        <v>69</v>
      </c>
      <c r="D73" s="99">
        <f t="shared" si="5"/>
        <v>2</v>
      </c>
      <c r="E73" s="104">
        <f t="shared" si="6"/>
        <v>3.4189120899071379</v>
      </c>
    </row>
    <row r="74" spans="1:5" x14ac:dyDescent="0.25">
      <c r="A74" s="102">
        <f t="shared" ref="A74:B79" si="7">A73</f>
        <v>0.28854989849459045</v>
      </c>
      <c r="B74" s="103">
        <f t="shared" si="7"/>
        <v>41.9</v>
      </c>
      <c r="C74" s="99">
        <v>70</v>
      </c>
      <c r="D74" s="99">
        <f t="shared" si="5"/>
        <v>2</v>
      </c>
      <c r="E74" s="104">
        <f t="shared" si="6"/>
        <v>3.4644701764675023</v>
      </c>
    </row>
    <row r="75" spans="1:5" x14ac:dyDescent="0.25">
      <c r="A75" s="102">
        <f t="shared" si="7"/>
        <v>0.28854989849459045</v>
      </c>
      <c r="B75" s="103">
        <f t="shared" si="7"/>
        <v>41.9</v>
      </c>
      <c r="C75" s="99">
        <v>71</v>
      </c>
      <c r="D75" s="99">
        <f t="shared" si="5"/>
        <v>2</v>
      </c>
      <c r="E75" s="104">
        <f t="shared" si="6"/>
        <v>3.5100282630278667</v>
      </c>
    </row>
    <row r="76" spans="1:5" x14ac:dyDescent="0.25">
      <c r="A76" s="102">
        <f t="shared" si="7"/>
        <v>0.28854989849459045</v>
      </c>
      <c r="B76" s="103">
        <f t="shared" si="7"/>
        <v>41.9</v>
      </c>
      <c r="C76" s="99">
        <v>72</v>
      </c>
      <c r="D76" s="99">
        <f t="shared" si="5"/>
        <v>2</v>
      </c>
      <c r="E76" s="104">
        <f t="shared" si="6"/>
        <v>3.5555863495882312</v>
      </c>
    </row>
    <row r="77" spans="1:5" x14ac:dyDescent="0.25">
      <c r="A77" s="102">
        <f t="shared" si="7"/>
        <v>0.28854989849459045</v>
      </c>
      <c r="B77" s="103">
        <f t="shared" si="7"/>
        <v>41.9</v>
      </c>
      <c r="C77" s="99">
        <v>73</v>
      </c>
      <c r="D77" s="99">
        <f t="shared" si="5"/>
        <v>2</v>
      </c>
      <c r="E77" s="104">
        <f t="shared" si="6"/>
        <v>3.6011444361485956</v>
      </c>
    </row>
    <row r="78" spans="1:5" x14ac:dyDescent="0.25">
      <c r="A78" s="102">
        <f t="shared" si="7"/>
        <v>0.28854989849459045</v>
      </c>
      <c r="B78" s="103">
        <f t="shared" si="7"/>
        <v>41.9</v>
      </c>
      <c r="C78" s="99">
        <v>74</v>
      </c>
      <c r="D78" s="99">
        <f t="shared" si="5"/>
        <v>2</v>
      </c>
      <c r="E78" s="104">
        <f t="shared" si="6"/>
        <v>3.64670252270896</v>
      </c>
    </row>
    <row r="79" spans="1:5" x14ac:dyDescent="0.25">
      <c r="A79" s="102">
        <f t="shared" si="7"/>
        <v>0.28854989849459045</v>
      </c>
      <c r="B79" s="103">
        <f t="shared" si="7"/>
        <v>41.9</v>
      </c>
      <c r="C79" s="99">
        <v>75</v>
      </c>
      <c r="D79" s="99">
        <f t="shared" si="5"/>
        <v>2</v>
      </c>
      <c r="E79" s="104">
        <f t="shared" si="6"/>
        <v>3.6922606092693244</v>
      </c>
    </row>
  </sheetData>
  <mergeCells count="5">
    <mergeCell ref="A1:Q1"/>
    <mergeCell ref="A2:E2"/>
    <mergeCell ref="C3:D3"/>
    <mergeCell ref="H3:J3"/>
    <mergeCell ref="L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4D36-A5FA-4504-9679-8550ACFB43F0}">
  <dimension ref="A1:AD20"/>
  <sheetViews>
    <sheetView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K29" sqref="K29"/>
    </sheetView>
  </sheetViews>
  <sheetFormatPr baseColWidth="10" defaultColWidth="11.42578125" defaultRowHeight="15" x14ac:dyDescent="0.25"/>
  <cols>
    <col min="1" max="1" width="20.85546875" bestFit="1" customWidth="1"/>
    <col min="2" max="2" width="25.85546875" customWidth="1"/>
    <col min="3" max="3" width="19" customWidth="1"/>
    <col min="5" max="5" width="6.85546875" customWidth="1"/>
    <col min="30" max="30" width="26.140625" bestFit="1" customWidth="1"/>
  </cols>
  <sheetData>
    <row r="1" spans="1:30" s="1" customFormat="1" ht="49.5" x14ac:dyDescent="0.25">
      <c r="A1" s="119" t="s">
        <v>642</v>
      </c>
      <c r="B1" s="119" t="s">
        <v>643</v>
      </c>
      <c r="C1" s="119" t="s">
        <v>644</v>
      </c>
      <c r="D1" s="119" t="s">
        <v>645</v>
      </c>
      <c r="E1" s="119" t="s">
        <v>646</v>
      </c>
      <c r="F1" s="32" t="s">
        <v>45</v>
      </c>
      <c r="G1" s="123" t="s">
        <v>35</v>
      </c>
      <c r="H1" s="123" t="s">
        <v>647</v>
      </c>
      <c r="I1" s="123" t="s">
        <v>648</v>
      </c>
      <c r="J1" s="124" t="s">
        <v>36</v>
      </c>
      <c r="K1" s="124" t="s">
        <v>647</v>
      </c>
      <c r="L1" s="124" t="s">
        <v>648</v>
      </c>
      <c r="M1" s="125" t="s">
        <v>37</v>
      </c>
      <c r="N1" s="125" t="s">
        <v>647</v>
      </c>
      <c r="O1" s="125" t="s">
        <v>648</v>
      </c>
      <c r="P1" s="32" t="s">
        <v>38</v>
      </c>
      <c r="Q1" s="32" t="s">
        <v>647</v>
      </c>
      <c r="R1" s="32" t="s">
        <v>648</v>
      </c>
      <c r="S1" s="32" t="s">
        <v>39</v>
      </c>
      <c r="T1" s="32" t="s">
        <v>647</v>
      </c>
      <c r="U1" s="32" t="s">
        <v>648</v>
      </c>
      <c r="V1" s="32" t="s">
        <v>649</v>
      </c>
      <c r="W1" s="32" t="s">
        <v>647</v>
      </c>
      <c r="X1" s="32" t="s">
        <v>648</v>
      </c>
      <c r="Y1" s="32" t="s">
        <v>43</v>
      </c>
      <c r="Z1" s="32" t="s">
        <v>650</v>
      </c>
      <c r="AA1" s="32" t="s">
        <v>651</v>
      </c>
      <c r="AB1" s="32" t="s">
        <v>652</v>
      </c>
      <c r="AC1" s="32" t="s">
        <v>653</v>
      </c>
      <c r="AD1" s="32" t="s">
        <v>654</v>
      </c>
    </row>
    <row r="2" spans="1:30" x14ac:dyDescent="0.25">
      <c r="A2" t="s">
        <v>51</v>
      </c>
      <c r="B2" t="s">
        <v>728</v>
      </c>
      <c r="C2" t="s">
        <v>655</v>
      </c>
      <c r="D2" t="s">
        <v>656</v>
      </c>
      <c r="E2" s="1" t="s">
        <v>657</v>
      </c>
      <c r="F2" s="10">
        <v>3.5000000000000001E-3</v>
      </c>
      <c r="G2" s="10">
        <v>1.74</v>
      </c>
      <c r="H2" s="10" cm="1">
        <f t="array" ref="H2">_xlfn.IFS($A2="Quebrada La Marinilla",_xlfn.IFS(AND($F2&gt;0,$F2&lt;=1),'Mezclas MN'!$M$5,AND($F2&gt;1,$F2&lt;=2),'Mezclas MN'!$M$6,AND($F2&gt;2,$F2&lt;=3),'Mezclas MN'!$M$7,AND($F2&gt;3,$F2&lt;=4),'Mezclas MN'!$M$8,AND($F2&gt;4,$F2&lt;=5),'Mezclas MN'!$M$9,AND($F2&gt;5,$F2&lt;=6),'Mezclas MN'!$M$10,AND($F2&gt;6,$F2&lt;=8),'Mezclas MN'!$M$11,AND($F2&gt;8,$F2&lt;=12),'Mezclas MN'!$M$12,AND($F2&gt;12,$F2&lt;=26),'Mezclas MN'!$M$13,$F2&gt;26,'Mezclas MN'!$M$14),$A2="Rio Negro",_xlfn.IFS(AND($F2&gt;0,$F2&lt;=1),'Mezclas RN'!$M$5,AND($F2&gt;1,$F2&lt;=2),'Mezclas RN'!$M$6,AND($F2&gt;2,$F2&lt;=3),'Mezclas RN'!$M$7,AND($F2&gt;3,$F2&lt;=4),'Mezclas RN'!$M$8,AND($F2&gt;4,$F2&lt;=5),'Mezclas RN'!$M$9,AND($F2&gt;5,$F2&lt;=6),'Mezclas RN'!$M$10,AND($F2&gt;6,$F2&lt;=8),'Mezclas RN'!$M$11,AND($F2&gt;8,$F2&lt;=13),'Mezclas RN'!$M$12,AND($F2&gt;13,$F2&lt;=25),'Mezclas RN'!$M$13,$F2&gt;25,'Mezclas RN'!$M$14))</f>
        <v>27</v>
      </c>
      <c r="I2" s="10" t="str">
        <f>IF(G2&lt;H2,"Cumple","No cumple")</f>
        <v>Cumple</v>
      </c>
      <c r="J2" s="10">
        <v>0.82</v>
      </c>
      <c r="K2" s="121" cm="1">
        <f t="array" ref="K2">_xlfn.IFS($A2="Quebrada La Marinilla",_xlfn.IFS(AND($F2&gt;0,$F2&lt;=1),'Mezclas MN'!$O$5,AND($F2&gt;1,$F2&lt;=2),'Mezclas MN'!$O$6,AND($F2&gt;2,$F2&lt;=3),'Mezclas MN'!$O$7,AND($F2&gt;3,$F2&lt;=4),'Mezclas MN'!$O$8,AND($F2&gt;4,$F2&lt;=5),'Mezclas MN'!$O$9,AND($F2&gt;5,$F2&lt;=6),'Mezclas MN'!$O$10,AND($F2&gt;6,$F2&lt;=7),'Mezclas MN'!$O$11,AND($F2&gt;7,$F2&lt;=9),'Mezclas MN'!$O$12,AND($F2&gt;9,$F2&lt;=12),'Mezclas MN'!$O$13,AND($F2&gt;12,$F2&lt;=17),'Mezclas MN'!$O$14,AND($F2&gt;17,$F2&lt;=29),'Mezclas MN'!$O$15,$F2&gt;29,'Mezclas MN'!$O$16),$A2="Rio Negro",_xlfn.IFS(AND($F2&gt;0,$F2&lt;=1),'Mezclas RN'!$O$5,AND($F2&gt;1,$F2&lt;=2),'Mezclas RN'!$O$6,AND($F2&gt;2,$F2&lt;=3),'Mezclas RN'!$O$7,AND($F2&gt;3,$F2&lt;=4),'Mezclas RN'!$O$8,AND($F2&gt;4,$F2&lt;=5),'Mezclas RN'!$O$9,AND($F2&gt;5,$F2&lt;=6),'Mezclas RN'!$O$10,AND($F2&gt;6,$F2&lt;=7),'Mezclas RN'!$O$11,AND($F2&gt;7,$F2&lt;=8),'Mezclas RN'!$O$12,AND($F2&gt;8,$F2&lt;=10),'Mezclas RN'!$O$13,AND($F2&gt;10,$F2&lt;=12),'Mezclas RN'!$O$14,AND($F2&gt;12,$F2&lt;=16),'Mezclas RN'!$O$15,AND($F2&gt;16,$F2&lt;=23),'Mezclas RN'!$O$16,AND($F2&gt;23,$F2&lt;=30),'Mezclas RN'!$O$17,$F2&gt;30,'Mezclas RN'!$O$18))</f>
        <v>57</v>
      </c>
      <c r="L2" s="10" t="str">
        <f>IF(J2&lt;K2,"Cumple","No cumple")</f>
        <v>Cumple</v>
      </c>
      <c r="M2" s="10">
        <v>0.46</v>
      </c>
      <c r="N2" s="121" cm="1">
        <f t="array" ref="N2">_xlfn.IFS($A2="Quebrada La Marinilla",_xlfn.IFS(AND($F2&gt;0,$F2&lt;=1),'Mezclas MN'!$Q$5,AND($F2&gt;1,$F2&lt;=2),'Mezclas MN'!$Q$6,AND($F2&gt;2,$F2&lt;=3),'Mezclas MN'!$Q$7,AND($F2&gt;3,$F2&lt;=4),'Mezclas MN'!$Q$8,AND($F2&gt;4,$F2&lt;=5),'Mezclas MN'!$Q$9,AND($F2&gt;5,$F2&lt;=6),'Mezclas MN'!$Q$10,AND($F2&gt;6,$F2&lt;=7),'Mezclas MN'!$Q$11,AND($F2&gt;7,$F2&lt;=9),'Mezclas MN'!$Q$12,AND($F2&gt;9,$F2&lt;=11),'Mezclas MN'!$Q$13,AND($F2&gt;11,$F2&lt;=15),'Mezclas MN'!$Q$14,AND($F2&gt;15,$F2&lt;=25),'Mezclas MN'!$Q$15,$F2&gt;25,'Mezclas MN'!$Q$16),$A2="Rio Negro",_xlfn.IFS(AND($F2&gt;0,$F2&lt;=1),'Mezclas RN'!$Q$5,AND($F2&gt;1,$F2&lt;=2),'Mezclas RN'!$Q$6,AND($F2&gt;2,$F2&lt;=3),'Mezclas RN'!$Q$7,AND($F2&gt;3,$F2&lt;=4),'Mezclas RN'!$Q$8,AND($F2&gt;4,$F2&lt;=5),'Mezclas RN'!$Q$9,AND($F2&gt;5,$F2&lt;=6),'Mezclas RN'!$Q$10,AND($F2&gt;6,$F2&lt;=8),'Mezclas RN'!$Q$11,AND($F2&gt;8,$F2&lt;=11),'Mezclas RN'!$Q$12,AND($F2&gt;11,$F2&lt;=19),'Mezclas RN'!$Q$13,$F2&gt;19,'Mezclas RN'!$Q$14))</f>
        <v>31</v>
      </c>
      <c r="O2" s="10" t="str">
        <f>IF(M2&lt;N2,"Cumple","No cumple")</f>
        <v>Cumple</v>
      </c>
      <c r="P2" s="120">
        <v>22.4</v>
      </c>
      <c r="Q2" s="120">
        <v>400</v>
      </c>
      <c r="R2" s="10" t="str">
        <f t="shared" ref="R2:R7" si="0">IF(P2&lt;Q2,"Cumple","No cumple")</f>
        <v>Cumple</v>
      </c>
      <c r="S2" s="120">
        <v>64.2</v>
      </c>
      <c r="T2" s="120">
        <v>800</v>
      </c>
      <c r="U2" s="10" t="str">
        <f t="shared" ref="U2:U7" si="1">IF(S2&lt;T2,"Cumple","No cumple")</f>
        <v>Cumple</v>
      </c>
      <c r="V2" s="120">
        <v>12</v>
      </c>
      <c r="W2" s="120">
        <v>200</v>
      </c>
      <c r="X2" s="10" t="str">
        <f t="shared" ref="X2:X8" si="2">IF(V2&lt;W2,"Cumple","No cumple")</f>
        <v>Cumple</v>
      </c>
      <c r="Y2" s="1" t="s">
        <v>658</v>
      </c>
      <c r="Z2" s="1" t="str">
        <f>IF(OR(I2="no cumple",L2="no cumple",O2="no cumple"),"No","Si")</f>
        <v>Si</v>
      </c>
      <c r="AA2" s="1" t="str">
        <f>IF(R2="no cumple","No","Si")</f>
        <v>Si</v>
      </c>
      <c r="AB2" s="1" t="str">
        <f>IF(U2="no cumple","No","Si")</f>
        <v>Si</v>
      </c>
      <c r="AC2" s="1" t="str">
        <f>IF(X2="no cumple","No","Si")</f>
        <v>Si</v>
      </c>
      <c r="AD2" t="s">
        <v>659</v>
      </c>
    </row>
    <row r="3" spans="1:30" x14ac:dyDescent="0.25">
      <c r="A3" t="s">
        <v>51</v>
      </c>
      <c r="B3" t="s">
        <v>729</v>
      </c>
      <c r="C3" t="s">
        <v>660</v>
      </c>
      <c r="D3" t="s">
        <v>661</v>
      </c>
      <c r="E3" s="1" t="s">
        <v>657</v>
      </c>
      <c r="F3" s="10">
        <v>101.60916666666667</v>
      </c>
      <c r="G3" s="10">
        <v>5.6</v>
      </c>
      <c r="H3" s="10" cm="1">
        <f t="array" ref="H3">_xlfn.IFS($A3="Quebrada La Marinilla",_xlfn.IFS(AND($F3&gt;0,$F3&lt;=1),'Mezclas MN'!$M$5,AND($F3&gt;1,$F3&lt;=2),'Mezclas MN'!$M$6,AND($F3&gt;2,$F3&lt;=3),'Mezclas MN'!$M$7,AND($F3&gt;3,$F3&lt;=4),'Mezclas MN'!$M$8,AND($F3&gt;4,$F3&lt;=5),'Mezclas MN'!$M$9,AND($F3&gt;5,$F3&lt;=6),'Mezclas MN'!$M$10,AND($F3&gt;6,$F3&lt;=8),'Mezclas MN'!$M$11,AND($F3&gt;8,$F3&lt;=12),'Mezclas MN'!$M$12,AND($F3&gt;12,$F3&lt;=26),'Mezclas MN'!$M$13,$F3&gt;26,'Mezclas MN'!$M$14),$A3="Rio Negro",_xlfn.IFS(AND($F3&gt;0,$F3&lt;=1),'Mezclas RN'!$M$5,AND($F3&gt;1,$F3&lt;=2),'Mezclas RN'!$M$6,AND($F3&gt;2,$F3&lt;=3),'Mezclas RN'!$M$7,AND($F3&gt;3,$F3&lt;=4),'Mezclas RN'!$M$8,AND($F3&gt;4,$F3&lt;=5),'Mezclas RN'!$M$9,AND($F3&gt;5,$F3&lt;=6),'Mezclas RN'!$M$10,AND($F3&gt;6,$F3&lt;=8),'Mezclas RN'!$M$11,AND($F3&gt;8,$F3&lt;=13),'Mezclas RN'!$M$12,AND($F3&gt;13,$F3&lt;=25),'Mezclas RN'!$M$13,$F3&gt;25,'Mezclas RN'!$M$14))</f>
        <v>1</v>
      </c>
      <c r="I3" s="10" t="str">
        <f t="shared" ref="I3:I20" si="3">IF(G3&lt;H3,"Cumple","No cumple")</f>
        <v>No cumple</v>
      </c>
      <c r="J3" s="10">
        <v>3.2</v>
      </c>
      <c r="K3" s="121" cm="1">
        <f t="array" ref="K3">_xlfn.IFS($A3="Quebrada La Marinilla",_xlfn.IFS(AND($F3&gt;0,$F3&lt;=1),'Mezclas MN'!$O$5,AND($F3&gt;1,$F3&lt;=2),'Mezclas MN'!$O$6,AND($F3&gt;2,$F3&lt;=3),'Mezclas MN'!$O$7,AND($F3&gt;3,$F3&lt;=4),'Mezclas MN'!$O$8,AND($F3&gt;4,$F3&lt;=5),'Mezclas MN'!$O$9,AND($F3&gt;5,$F3&lt;=6),'Mezclas MN'!$O$10,AND($F3&gt;6,$F3&lt;=7),'Mezclas MN'!$O$11,AND($F3&gt;7,$F3&lt;=9),'Mezclas MN'!$O$12,AND($F3&gt;9,$F3&lt;=12),'Mezclas MN'!$O$13,AND($F3&gt;12,$F3&lt;=17),'Mezclas MN'!$O$14,AND($F3&gt;17,$F3&lt;=29),'Mezclas MN'!$O$15,$F3&gt;29,'Mezclas MN'!$O$16),$A3="Rio Negro",_xlfn.IFS(AND($F3&gt;0,$F3&lt;=1),'Mezclas RN'!$O$5,AND($F3&gt;1,$F3&lt;=2),'Mezclas RN'!$O$6,AND($F3&gt;2,$F3&lt;=3),'Mezclas RN'!$O$7,AND($F3&gt;3,$F3&lt;=4),'Mezclas RN'!$O$8,AND($F3&gt;4,$F3&lt;=5),'Mezclas RN'!$O$9,AND($F3&gt;5,$F3&lt;=6),'Mezclas RN'!$O$10,AND($F3&gt;6,$F3&lt;=7),'Mezclas RN'!$O$11,AND($F3&gt;7,$F3&lt;=8),'Mezclas RN'!$O$12,AND($F3&gt;8,$F3&lt;=10),'Mezclas RN'!$O$13,AND($F3&gt;10,$F3&lt;=12),'Mezclas RN'!$O$14,AND($F3&gt;12,$F3&lt;=16),'Mezclas RN'!$O$15,AND($F3&gt;16,$F3&lt;=23),'Mezclas RN'!$O$16,AND($F3&gt;23,$F3&lt;=30),'Mezclas RN'!$O$17,$F3&gt;30,'Mezclas RN'!$O$18))</f>
        <v>1</v>
      </c>
      <c r="L3" s="10" t="str">
        <f t="shared" ref="L3:L20" si="4">IF(J3&lt;K3,"Cumple","No cumple")</f>
        <v>No cumple</v>
      </c>
      <c r="M3" s="10">
        <v>2.1</v>
      </c>
      <c r="N3" s="121" cm="1">
        <f t="array" ref="N3">_xlfn.IFS($A3="Quebrada La Marinilla",_xlfn.IFS(AND($F3&gt;0,$F3&lt;=1),'Mezclas MN'!$Q$5,AND($F3&gt;1,$F3&lt;=2),'Mezclas MN'!$Q$6,AND($F3&gt;2,$F3&lt;=3),'Mezclas MN'!$Q$7,AND($F3&gt;3,$F3&lt;=4),'Mezclas MN'!$Q$8,AND($F3&gt;4,$F3&lt;=5),'Mezclas MN'!$Q$9,AND($F3&gt;5,$F3&lt;=6),'Mezclas MN'!$Q$10,AND($F3&gt;6,$F3&lt;=7),'Mezclas MN'!$Q$11,AND($F3&gt;7,$F3&lt;=9),'Mezclas MN'!$Q$12,AND($F3&gt;9,$F3&lt;=11),'Mezclas MN'!$Q$13,AND($F3&gt;11,$F3&lt;=15),'Mezclas MN'!$Q$14,AND($F3&gt;15,$F3&lt;=25),'Mezclas MN'!$Q$15,$F3&gt;25,'Mezclas MN'!$Q$16),$A3="Rio Negro",_xlfn.IFS(AND($F3&gt;0,$F3&lt;=1),'Mezclas RN'!$Q$5,AND($F3&gt;1,$F3&lt;=2),'Mezclas RN'!$Q$6,AND($F3&gt;2,$F3&lt;=3),'Mezclas RN'!$Q$7,AND($F3&gt;3,$F3&lt;=4),'Mezclas RN'!$Q$8,AND($F3&gt;4,$F3&lt;=5),'Mezclas RN'!$Q$9,AND($F3&gt;5,$F3&lt;=6),'Mezclas RN'!$Q$10,AND($F3&gt;6,$F3&lt;=8),'Mezclas RN'!$Q$11,AND($F3&gt;8,$F3&lt;=11),'Mezclas RN'!$Q$12,AND($F3&gt;11,$F3&lt;=19),'Mezclas RN'!$Q$13,$F3&gt;19,'Mezclas RN'!$Q$14))</f>
        <v>1</v>
      </c>
      <c r="O3" s="10" t="str">
        <f t="shared" ref="O3:O20" si="5">IF(M3&lt;N3,"Cumple","No cumple")</f>
        <v>No cumple</v>
      </c>
      <c r="P3" s="120">
        <v>386.4</v>
      </c>
      <c r="Q3" s="120">
        <v>70</v>
      </c>
      <c r="R3" s="10" t="str">
        <f t="shared" si="0"/>
        <v>No cumple</v>
      </c>
      <c r="S3" s="120">
        <v>554.5</v>
      </c>
      <c r="T3" s="120">
        <v>150</v>
      </c>
      <c r="U3" s="10" t="str">
        <f t="shared" si="1"/>
        <v>No cumple</v>
      </c>
      <c r="V3" s="120">
        <v>210</v>
      </c>
      <c r="W3" s="120">
        <v>70</v>
      </c>
      <c r="X3" s="10" t="str">
        <f t="shared" si="2"/>
        <v>No cumple</v>
      </c>
      <c r="Y3" s="1" t="s">
        <v>662</v>
      </c>
      <c r="Z3" s="1" t="str">
        <f t="shared" ref="Z3:Z20" si="6">IF(OR(I3="no cumple",L3="no cumple",O3="no cumple"),"No","Si")</f>
        <v>No</v>
      </c>
      <c r="AA3" s="1" t="str">
        <f t="shared" ref="AA3:AA20" si="7">IF(R3="no cumple","No","Si")</f>
        <v>No</v>
      </c>
      <c r="AB3" s="1" t="str">
        <f t="shared" ref="AB3:AB20" si="8">IF(U3="no cumple","No","Si")</f>
        <v>No</v>
      </c>
      <c r="AC3" s="1" t="str">
        <f t="shared" ref="AC3:AC20" si="9">IF(X3="no cumple","No","Si")</f>
        <v>No</v>
      </c>
      <c r="AD3" t="s">
        <v>663</v>
      </c>
    </row>
    <row r="4" spans="1:30" x14ac:dyDescent="0.25">
      <c r="A4" t="s">
        <v>51</v>
      </c>
      <c r="B4" t="s">
        <v>730</v>
      </c>
      <c r="C4" t="s">
        <v>655</v>
      </c>
      <c r="D4" t="s">
        <v>656</v>
      </c>
      <c r="E4" s="1" t="s">
        <v>657</v>
      </c>
      <c r="F4" s="10">
        <v>6.5833333333333341E-2</v>
      </c>
      <c r="G4" s="10">
        <v>1.2</v>
      </c>
      <c r="H4" s="10" cm="1">
        <f t="array" ref="H4">_xlfn.IFS($A4="Quebrada La Marinilla",_xlfn.IFS(AND($F4&gt;0,$F4&lt;=1),'Mezclas MN'!$M$5,AND($F4&gt;1,$F4&lt;=2),'Mezclas MN'!$M$6,AND($F4&gt;2,$F4&lt;=3),'Mezclas MN'!$M$7,AND($F4&gt;3,$F4&lt;=4),'Mezclas MN'!$M$8,AND($F4&gt;4,$F4&lt;=5),'Mezclas MN'!$M$9,AND($F4&gt;5,$F4&lt;=6),'Mezclas MN'!$M$10,AND($F4&gt;6,$F4&lt;=8),'Mezclas MN'!$M$11,AND($F4&gt;8,$F4&lt;=12),'Mezclas MN'!$M$12,AND($F4&gt;12,$F4&lt;=26),'Mezclas MN'!$M$13,$F4&gt;26,'Mezclas MN'!$M$14),$A4="Rio Negro",_xlfn.IFS(AND($F4&gt;0,$F4&lt;=1),'Mezclas RN'!$M$5,AND($F4&gt;1,$F4&lt;=2),'Mezclas RN'!$M$6,AND($F4&gt;2,$F4&lt;=3),'Mezclas RN'!$M$7,AND($F4&gt;3,$F4&lt;=4),'Mezclas RN'!$M$8,AND($F4&gt;4,$F4&lt;=5),'Mezclas RN'!$M$9,AND($F4&gt;5,$F4&lt;=6),'Mezclas RN'!$M$10,AND($F4&gt;6,$F4&lt;=8),'Mezclas RN'!$M$11,AND($F4&gt;8,$F4&lt;=13),'Mezclas RN'!$M$12,AND($F4&gt;13,$F4&lt;=25),'Mezclas RN'!$M$13,$F4&gt;25,'Mezclas RN'!$M$14))</f>
        <v>27</v>
      </c>
      <c r="I4" s="10" t="str">
        <f t="shared" si="3"/>
        <v>Cumple</v>
      </c>
      <c r="J4" s="10">
        <v>0.48</v>
      </c>
      <c r="K4" s="121" cm="1">
        <f t="array" ref="K4">_xlfn.IFS($A4="Quebrada La Marinilla",_xlfn.IFS(AND($F4&gt;0,$F4&lt;=1),'Mezclas MN'!$O$5,AND($F4&gt;1,$F4&lt;=2),'Mezclas MN'!$O$6,AND($F4&gt;2,$F4&lt;=3),'Mezclas MN'!$O$7,AND($F4&gt;3,$F4&lt;=4),'Mezclas MN'!$O$8,AND($F4&gt;4,$F4&lt;=5),'Mezclas MN'!$O$9,AND($F4&gt;5,$F4&lt;=6),'Mezclas MN'!$O$10,AND($F4&gt;6,$F4&lt;=7),'Mezclas MN'!$O$11,AND($F4&gt;7,$F4&lt;=9),'Mezclas MN'!$O$12,AND($F4&gt;9,$F4&lt;=12),'Mezclas MN'!$O$13,AND($F4&gt;12,$F4&lt;=17),'Mezclas MN'!$O$14,AND($F4&gt;17,$F4&lt;=29),'Mezclas MN'!$O$15,$F4&gt;29,'Mezclas MN'!$O$16),$A4="Rio Negro",_xlfn.IFS(AND($F4&gt;0,$F4&lt;=1),'Mezclas RN'!$O$5,AND($F4&gt;1,$F4&lt;=2),'Mezclas RN'!$O$6,AND($F4&gt;2,$F4&lt;=3),'Mezclas RN'!$O$7,AND($F4&gt;3,$F4&lt;=4),'Mezclas RN'!$O$8,AND($F4&gt;4,$F4&lt;=5),'Mezclas RN'!$O$9,AND($F4&gt;5,$F4&lt;=6),'Mezclas RN'!$O$10,AND($F4&gt;6,$F4&lt;=7),'Mezclas RN'!$O$11,AND($F4&gt;7,$F4&lt;=8),'Mezclas RN'!$O$12,AND($F4&gt;8,$F4&lt;=10),'Mezclas RN'!$O$13,AND($F4&gt;10,$F4&lt;=12),'Mezclas RN'!$O$14,AND($F4&gt;12,$F4&lt;=16),'Mezclas RN'!$O$15,AND($F4&gt;16,$F4&lt;=23),'Mezclas RN'!$O$16,AND($F4&gt;23,$F4&lt;=30),'Mezclas RN'!$O$17,$F4&gt;30,'Mezclas RN'!$O$18))</f>
        <v>57</v>
      </c>
      <c r="L4" s="10" t="str">
        <f t="shared" si="4"/>
        <v>Cumple</v>
      </c>
      <c r="M4" s="10">
        <v>0.48</v>
      </c>
      <c r="N4" s="121" cm="1">
        <f t="array" ref="N4">_xlfn.IFS($A4="Quebrada La Marinilla",_xlfn.IFS(AND($F4&gt;0,$F4&lt;=1),'Mezclas MN'!$Q$5,AND($F4&gt;1,$F4&lt;=2),'Mezclas MN'!$Q$6,AND($F4&gt;2,$F4&lt;=3),'Mezclas MN'!$Q$7,AND($F4&gt;3,$F4&lt;=4),'Mezclas MN'!$Q$8,AND($F4&gt;4,$F4&lt;=5),'Mezclas MN'!$Q$9,AND($F4&gt;5,$F4&lt;=6),'Mezclas MN'!$Q$10,AND($F4&gt;6,$F4&lt;=7),'Mezclas MN'!$Q$11,AND($F4&gt;7,$F4&lt;=9),'Mezclas MN'!$Q$12,AND($F4&gt;9,$F4&lt;=11),'Mezclas MN'!$Q$13,AND($F4&gt;11,$F4&lt;=15),'Mezclas MN'!$Q$14,AND($F4&gt;15,$F4&lt;=25),'Mezclas MN'!$Q$15,$F4&gt;25,'Mezclas MN'!$Q$16),$A4="Rio Negro",_xlfn.IFS(AND($F4&gt;0,$F4&lt;=1),'Mezclas RN'!$Q$5,AND($F4&gt;1,$F4&lt;=2),'Mezclas RN'!$Q$6,AND($F4&gt;2,$F4&lt;=3),'Mezclas RN'!$Q$7,AND($F4&gt;3,$F4&lt;=4),'Mezclas RN'!$Q$8,AND($F4&gt;4,$F4&lt;=5),'Mezclas RN'!$Q$9,AND($F4&gt;5,$F4&lt;=6),'Mezclas RN'!$Q$10,AND($F4&gt;6,$F4&lt;=8),'Mezclas RN'!$Q$11,AND($F4&gt;8,$F4&lt;=11),'Mezclas RN'!$Q$12,AND($F4&gt;11,$F4&lt;=19),'Mezclas RN'!$Q$13,$F4&gt;19,'Mezclas RN'!$Q$14))</f>
        <v>31</v>
      </c>
      <c r="O4" s="10" t="str">
        <f t="shared" si="5"/>
        <v>Cumple</v>
      </c>
      <c r="P4" s="120">
        <v>72.5</v>
      </c>
      <c r="Q4" s="120">
        <v>400</v>
      </c>
      <c r="R4" s="10" t="str">
        <f t="shared" si="0"/>
        <v>Cumple</v>
      </c>
      <c r="S4" s="120">
        <v>294.39999999999998</v>
      </c>
      <c r="T4" s="120">
        <v>800</v>
      </c>
      <c r="U4" s="10" t="str">
        <f t="shared" si="1"/>
        <v>Cumple</v>
      </c>
      <c r="V4" s="120">
        <v>10</v>
      </c>
      <c r="W4" s="120">
        <v>200</v>
      </c>
      <c r="X4" s="10" t="str">
        <f t="shared" si="2"/>
        <v>Cumple</v>
      </c>
      <c r="Y4" s="1" t="s">
        <v>664</v>
      </c>
      <c r="Z4" s="1" t="str">
        <f t="shared" si="6"/>
        <v>Si</v>
      </c>
      <c r="AA4" s="1" t="str">
        <f t="shared" si="7"/>
        <v>Si</v>
      </c>
      <c r="AB4" s="1" t="str">
        <f t="shared" si="8"/>
        <v>Si</v>
      </c>
      <c r="AC4" s="1" t="str">
        <f t="shared" si="9"/>
        <v>Si</v>
      </c>
      <c r="AD4" t="s">
        <v>659</v>
      </c>
    </row>
    <row r="5" spans="1:30" x14ac:dyDescent="0.25">
      <c r="A5" t="s">
        <v>51</v>
      </c>
      <c r="B5" t="s">
        <v>731</v>
      </c>
      <c r="C5" t="s">
        <v>666</v>
      </c>
      <c r="D5" t="s">
        <v>667</v>
      </c>
      <c r="E5" s="1" t="s">
        <v>657</v>
      </c>
      <c r="F5" s="10">
        <v>1.0116666666666665</v>
      </c>
      <c r="G5" s="10">
        <v>4.47</v>
      </c>
      <c r="H5" s="10" cm="1">
        <f t="array" ref="H5">_xlfn.IFS($A5="Quebrada La Marinilla",_xlfn.IFS(AND($F5&gt;0,$F5&lt;=1),'Mezclas MN'!$M$5,AND($F5&gt;1,$F5&lt;=2),'Mezclas MN'!$M$6,AND($F5&gt;2,$F5&lt;=3),'Mezclas MN'!$M$7,AND($F5&gt;3,$F5&lt;=4),'Mezclas MN'!$M$8,AND($F5&gt;4,$F5&lt;=5),'Mezclas MN'!$M$9,AND($F5&gt;5,$F5&lt;=6),'Mezclas MN'!$M$10,AND($F5&gt;6,$F5&lt;=8),'Mezclas MN'!$M$11,AND($F5&gt;8,$F5&lt;=12),'Mezclas MN'!$M$12,AND($F5&gt;12,$F5&lt;=26),'Mezclas MN'!$M$13,$F5&gt;26,'Mezclas MN'!$M$14),$A5="Rio Negro",_xlfn.IFS(AND($F5&gt;0,$F5&lt;=1),'Mezclas RN'!$M$5,AND($F5&gt;1,$F5&lt;=2),'Mezclas RN'!$M$6,AND($F5&gt;2,$F5&lt;=3),'Mezclas RN'!$M$7,AND($F5&gt;3,$F5&lt;=4),'Mezclas RN'!$M$8,AND($F5&gt;4,$F5&lt;=5),'Mezclas RN'!$M$9,AND($F5&gt;5,$F5&lt;=6),'Mezclas RN'!$M$10,AND($F5&gt;6,$F5&lt;=8),'Mezclas RN'!$M$11,AND($F5&gt;8,$F5&lt;=13),'Mezclas RN'!$M$12,AND($F5&gt;13,$F5&lt;=25),'Mezclas RN'!$M$13,$F5&gt;25,'Mezclas RN'!$M$14))</f>
        <v>14</v>
      </c>
      <c r="I5" s="10" t="str">
        <f t="shared" si="3"/>
        <v>Cumple</v>
      </c>
      <c r="J5" s="10">
        <v>2.35</v>
      </c>
      <c r="K5" s="121" cm="1">
        <f t="array" ref="K5">_xlfn.IFS($A5="Quebrada La Marinilla",_xlfn.IFS(AND($F5&gt;0,$F5&lt;=1),'Mezclas MN'!$O$5,AND($F5&gt;1,$F5&lt;=2),'Mezclas MN'!$O$6,AND($F5&gt;2,$F5&lt;=3),'Mezclas MN'!$O$7,AND($F5&gt;3,$F5&lt;=4),'Mezclas MN'!$O$8,AND($F5&gt;4,$F5&lt;=5),'Mezclas MN'!$O$9,AND($F5&gt;5,$F5&lt;=6),'Mezclas MN'!$O$10,AND($F5&gt;6,$F5&lt;=7),'Mezclas MN'!$O$11,AND($F5&gt;7,$F5&lt;=9),'Mezclas MN'!$O$12,AND($F5&gt;9,$F5&lt;=12),'Mezclas MN'!$O$13,AND($F5&gt;12,$F5&lt;=17),'Mezclas MN'!$O$14,AND($F5&gt;17,$F5&lt;=29),'Mezclas MN'!$O$15,$F5&gt;29,'Mezclas MN'!$O$16),$A5="Rio Negro",_xlfn.IFS(AND($F5&gt;0,$F5&lt;=1),'Mezclas RN'!$O$5,AND($F5&gt;1,$F5&lt;=2),'Mezclas RN'!$O$6,AND($F5&gt;2,$F5&lt;=3),'Mezclas RN'!$O$7,AND($F5&gt;3,$F5&lt;=4),'Mezclas RN'!$O$8,AND($F5&gt;4,$F5&lt;=5),'Mezclas RN'!$O$9,AND($F5&gt;5,$F5&lt;=6),'Mezclas RN'!$O$10,AND($F5&gt;6,$F5&lt;=7),'Mezclas RN'!$O$11,AND($F5&gt;7,$F5&lt;=8),'Mezclas RN'!$O$12,AND($F5&gt;8,$F5&lt;=10),'Mezclas RN'!$O$13,AND($F5&gt;10,$F5&lt;=12),'Mezclas RN'!$O$14,AND($F5&gt;12,$F5&lt;=16),'Mezclas RN'!$O$15,AND($F5&gt;16,$F5&lt;=23),'Mezclas RN'!$O$16,AND($F5&gt;23,$F5&lt;=30),'Mezclas RN'!$O$17,$F5&gt;30,'Mezclas RN'!$O$18))</f>
        <v>28</v>
      </c>
      <c r="L5" s="10" t="str">
        <f t="shared" si="4"/>
        <v>Cumple</v>
      </c>
      <c r="M5" s="10">
        <v>1.46</v>
      </c>
      <c r="N5" s="121" cm="1">
        <f t="array" ref="N5">_xlfn.IFS($A5="Quebrada La Marinilla",_xlfn.IFS(AND($F5&gt;0,$F5&lt;=1),'Mezclas MN'!$Q$5,AND($F5&gt;1,$F5&lt;=2),'Mezclas MN'!$Q$6,AND($F5&gt;2,$F5&lt;=3),'Mezclas MN'!$Q$7,AND($F5&gt;3,$F5&lt;=4),'Mezclas MN'!$Q$8,AND($F5&gt;4,$F5&lt;=5),'Mezclas MN'!$Q$9,AND($F5&gt;5,$F5&lt;=6),'Mezclas MN'!$Q$10,AND($F5&gt;6,$F5&lt;=7),'Mezclas MN'!$Q$11,AND($F5&gt;7,$F5&lt;=9),'Mezclas MN'!$Q$12,AND($F5&gt;9,$F5&lt;=11),'Mezclas MN'!$Q$13,AND($F5&gt;11,$F5&lt;=15),'Mezclas MN'!$Q$14,AND($F5&gt;15,$F5&lt;=25),'Mezclas MN'!$Q$15,$F5&gt;25,'Mezclas MN'!$Q$16),$A5="Rio Negro",_xlfn.IFS(AND($F5&gt;0,$F5&lt;=1),'Mezclas RN'!$Q$5,AND($F5&gt;1,$F5&lt;=2),'Mezclas RN'!$Q$6,AND($F5&gt;2,$F5&lt;=3),'Mezclas RN'!$Q$7,AND($F5&gt;3,$F5&lt;=4),'Mezclas RN'!$Q$8,AND($F5&gt;4,$F5&lt;=5),'Mezclas RN'!$Q$9,AND($F5&gt;5,$F5&lt;=6),'Mezclas RN'!$Q$10,AND($F5&gt;6,$F5&lt;=8),'Mezclas RN'!$Q$11,AND($F5&gt;8,$F5&lt;=11),'Mezclas RN'!$Q$12,AND($F5&gt;11,$F5&lt;=19),'Mezclas RN'!$Q$13,$F5&gt;19,'Mezclas RN'!$Q$14))</f>
        <v>16</v>
      </c>
      <c r="O5" s="10" t="str">
        <f t="shared" si="5"/>
        <v>Cumple</v>
      </c>
      <c r="P5" s="120">
        <v>43.4</v>
      </c>
      <c r="Q5" s="120">
        <v>90</v>
      </c>
      <c r="R5" s="10" t="str">
        <f t="shared" si="0"/>
        <v>Cumple</v>
      </c>
      <c r="S5" s="120">
        <v>60.5</v>
      </c>
      <c r="T5" s="120">
        <v>180</v>
      </c>
      <c r="U5" s="10" t="str">
        <f t="shared" si="1"/>
        <v>Cumple</v>
      </c>
      <c r="V5" s="120">
        <v>80</v>
      </c>
      <c r="W5" s="120">
        <v>90</v>
      </c>
      <c r="X5" s="10" t="str">
        <f t="shared" si="2"/>
        <v>Cumple</v>
      </c>
      <c r="Y5" s="1" t="s">
        <v>668</v>
      </c>
      <c r="Z5" s="1" t="str">
        <f t="shared" si="6"/>
        <v>Si</v>
      </c>
      <c r="AA5" s="1" t="str">
        <f t="shared" si="7"/>
        <v>Si</v>
      </c>
      <c r="AB5" s="1" t="str">
        <f t="shared" si="8"/>
        <v>Si</v>
      </c>
      <c r="AC5" s="1" t="str">
        <f t="shared" si="9"/>
        <v>Si</v>
      </c>
      <c r="AD5" t="s">
        <v>659</v>
      </c>
    </row>
    <row r="6" spans="1:30" x14ac:dyDescent="0.25">
      <c r="A6" t="s">
        <v>51</v>
      </c>
      <c r="B6" t="s">
        <v>732</v>
      </c>
      <c r="C6" t="s">
        <v>655</v>
      </c>
      <c r="D6" t="s">
        <v>661</v>
      </c>
      <c r="E6" s="1" t="s">
        <v>657</v>
      </c>
      <c r="F6" s="10">
        <v>10.559999999999999</v>
      </c>
      <c r="G6" s="10">
        <v>0.8</v>
      </c>
      <c r="H6" s="10" cm="1">
        <f t="array" ref="H6">_xlfn.IFS($A6="Quebrada La Marinilla",_xlfn.IFS(AND($F6&gt;0,$F6&lt;=1),'Mezclas MN'!$M$5,AND($F6&gt;1,$F6&lt;=2),'Mezclas MN'!$M$6,AND($F6&gt;2,$F6&lt;=3),'Mezclas MN'!$M$7,AND($F6&gt;3,$F6&lt;=4),'Mezclas MN'!$M$8,AND($F6&gt;4,$F6&lt;=5),'Mezclas MN'!$M$9,AND($F6&gt;5,$F6&lt;=6),'Mezclas MN'!$M$10,AND($F6&gt;6,$F6&lt;=8),'Mezclas MN'!$M$11,AND($F6&gt;8,$F6&lt;=12),'Mezclas MN'!$M$12,AND($F6&gt;12,$F6&lt;=26),'Mezclas MN'!$M$13,$F6&gt;26,'Mezclas MN'!$M$14),$A6="Rio Negro",_xlfn.IFS(AND($F6&gt;0,$F6&lt;=1),'Mezclas RN'!$M$5,AND($F6&gt;1,$F6&lt;=2),'Mezclas RN'!$M$6,AND($F6&gt;2,$F6&lt;=3),'Mezclas RN'!$M$7,AND($F6&gt;3,$F6&lt;=4),'Mezclas RN'!$M$8,AND($F6&gt;4,$F6&lt;=5),'Mezclas RN'!$M$9,AND($F6&gt;5,$F6&lt;=6),'Mezclas RN'!$M$10,AND($F6&gt;6,$F6&lt;=8),'Mezclas RN'!$M$11,AND($F6&gt;8,$F6&lt;=13),'Mezclas RN'!$M$12,AND($F6&gt;13,$F6&lt;=25),'Mezclas RN'!$M$13,$F6&gt;25,'Mezclas RN'!$M$14))</f>
        <v>3</v>
      </c>
      <c r="I6" s="10" t="str">
        <f t="shared" si="3"/>
        <v>Cumple</v>
      </c>
      <c r="J6" s="10">
        <v>0.4</v>
      </c>
      <c r="K6" s="121" cm="1">
        <f t="array" ref="K6">_xlfn.IFS($A6="Quebrada La Marinilla",_xlfn.IFS(AND($F6&gt;0,$F6&lt;=1),'Mezclas MN'!$O$5,AND($F6&gt;1,$F6&lt;=2),'Mezclas MN'!$O$6,AND($F6&gt;2,$F6&lt;=3),'Mezclas MN'!$O$7,AND($F6&gt;3,$F6&lt;=4),'Mezclas MN'!$O$8,AND($F6&gt;4,$F6&lt;=5),'Mezclas MN'!$O$9,AND($F6&gt;5,$F6&lt;=6),'Mezclas MN'!$O$10,AND($F6&gt;6,$F6&lt;=7),'Mezclas MN'!$O$11,AND($F6&gt;7,$F6&lt;=9),'Mezclas MN'!$O$12,AND($F6&gt;9,$F6&lt;=12),'Mezclas MN'!$O$13,AND($F6&gt;12,$F6&lt;=17),'Mezclas MN'!$O$14,AND($F6&gt;17,$F6&lt;=29),'Mezclas MN'!$O$15,$F6&gt;29,'Mezclas MN'!$O$16),$A6="Rio Negro",_xlfn.IFS(AND($F6&gt;0,$F6&lt;=1),'Mezclas RN'!$O$5,AND($F6&gt;1,$F6&lt;=2),'Mezclas RN'!$O$6,AND($F6&gt;2,$F6&lt;=3),'Mezclas RN'!$O$7,AND($F6&gt;3,$F6&lt;=4),'Mezclas RN'!$O$8,AND($F6&gt;4,$F6&lt;=5),'Mezclas RN'!$O$9,AND($F6&gt;5,$F6&lt;=6),'Mezclas RN'!$O$10,AND($F6&gt;6,$F6&lt;=7),'Mezclas RN'!$O$11,AND($F6&gt;7,$F6&lt;=8),'Mezclas RN'!$O$12,AND($F6&gt;8,$F6&lt;=10),'Mezclas RN'!$O$13,AND($F6&gt;10,$F6&lt;=12),'Mezclas RN'!$O$14,AND($F6&gt;12,$F6&lt;=16),'Mezclas RN'!$O$15,AND($F6&gt;16,$F6&lt;=23),'Mezclas RN'!$O$16,AND($F6&gt;23,$F6&lt;=30),'Mezclas RN'!$O$17,$F6&gt;30,'Mezclas RN'!$O$18))</f>
        <v>5</v>
      </c>
      <c r="L6" s="10" t="str">
        <f t="shared" si="4"/>
        <v>Cumple</v>
      </c>
      <c r="M6" s="10">
        <v>0.2</v>
      </c>
      <c r="N6" s="121" cm="1">
        <f t="array" ref="N6">_xlfn.IFS($A6="Quebrada La Marinilla",_xlfn.IFS(AND($F6&gt;0,$F6&lt;=1),'Mezclas MN'!$Q$5,AND($F6&gt;1,$F6&lt;=2),'Mezclas MN'!$Q$6,AND($F6&gt;2,$F6&lt;=3),'Mezclas MN'!$Q$7,AND($F6&gt;3,$F6&lt;=4),'Mezclas MN'!$Q$8,AND($F6&gt;4,$F6&lt;=5),'Mezclas MN'!$Q$9,AND($F6&gt;5,$F6&lt;=6),'Mezclas MN'!$Q$10,AND($F6&gt;6,$F6&lt;=7),'Mezclas MN'!$Q$11,AND($F6&gt;7,$F6&lt;=9),'Mezclas MN'!$Q$12,AND($F6&gt;9,$F6&lt;=11),'Mezclas MN'!$Q$13,AND($F6&gt;11,$F6&lt;=15),'Mezclas MN'!$Q$14,AND($F6&gt;15,$F6&lt;=25),'Mezclas MN'!$Q$15,$F6&gt;25,'Mezclas MN'!$Q$16),$A6="Rio Negro",_xlfn.IFS(AND($F6&gt;0,$F6&lt;=1),'Mezclas RN'!$Q$5,AND($F6&gt;1,$F6&lt;=2),'Mezclas RN'!$Q$6,AND($F6&gt;2,$F6&lt;=3),'Mezclas RN'!$Q$7,AND($F6&gt;3,$F6&lt;=4),'Mezclas RN'!$Q$8,AND($F6&gt;4,$F6&lt;=5),'Mezclas RN'!$Q$9,AND($F6&gt;5,$F6&lt;=6),'Mezclas RN'!$Q$10,AND($F6&gt;6,$F6&lt;=8),'Mezclas RN'!$Q$11,AND($F6&gt;8,$F6&lt;=11),'Mezclas RN'!$Q$12,AND($F6&gt;11,$F6&lt;=19),'Mezclas RN'!$Q$13,$F6&gt;19,'Mezclas RN'!$Q$14))</f>
        <v>3</v>
      </c>
      <c r="O6" s="10" t="str">
        <f t="shared" si="5"/>
        <v>Cumple</v>
      </c>
      <c r="P6" s="120">
        <v>28.74</v>
      </c>
      <c r="Q6" s="120">
        <v>400</v>
      </c>
      <c r="R6" s="10" t="str">
        <f t="shared" si="0"/>
        <v>Cumple</v>
      </c>
      <c r="S6" s="120">
        <v>176.87</v>
      </c>
      <c r="T6" s="120">
        <v>800</v>
      </c>
      <c r="U6" s="10" t="str">
        <f t="shared" si="1"/>
        <v>Cumple</v>
      </c>
      <c r="V6" s="120">
        <v>18.28</v>
      </c>
      <c r="W6" s="120">
        <v>200</v>
      </c>
      <c r="X6" s="10" t="str">
        <f t="shared" si="2"/>
        <v>Cumple</v>
      </c>
      <c r="Y6" s="1" t="s">
        <v>669</v>
      </c>
      <c r="Z6" s="1" t="str">
        <f t="shared" si="6"/>
        <v>Si</v>
      </c>
      <c r="AA6" s="1" t="str">
        <f t="shared" si="7"/>
        <v>Si</v>
      </c>
      <c r="AB6" s="1" t="str">
        <f t="shared" si="8"/>
        <v>Si</v>
      </c>
      <c r="AC6" s="1" t="str">
        <f t="shared" si="9"/>
        <v>Si</v>
      </c>
      <c r="AD6" t="s">
        <v>659</v>
      </c>
    </row>
    <row r="7" spans="1:30" x14ac:dyDescent="0.25">
      <c r="A7" t="s">
        <v>51</v>
      </c>
      <c r="B7" t="s">
        <v>733</v>
      </c>
      <c r="C7" t="s">
        <v>666</v>
      </c>
      <c r="D7" t="s">
        <v>656</v>
      </c>
      <c r="E7" s="1" t="s">
        <v>670</v>
      </c>
      <c r="F7" s="10">
        <v>1.28</v>
      </c>
      <c r="G7" s="10">
        <v>1.48</v>
      </c>
      <c r="H7" s="10" cm="1">
        <f t="array" ref="H7">_xlfn.IFS($A7="Quebrada La Marinilla",_xlfn.IFS(AND($F7&gt;0,$F7&lt;=1),'Mezclas MN'!$M$5,AND($F7&gt;1,$F7&lt;=2),'Mezclas MN'!$M$6,AND($F7&gt;2,$F7&lt;=3),'Mezclas MN'!$M$7,AND($F7&gt;3,$F7&lt;=4),'Mezclas MN'!$M$8,AND($F7&gt;4,$F7&lt;=5),'Mezclas MN'!$M$9,AND($F7&gt;5,$F7&lt;=6),'Mezclas MN'!$M$10,AND($F7&gt;6,$F7&lt;=8),'Mezclas MN'!$M$11,AND($F7&gt;8,$F7&lt;=12),'Mezclas MN'!$M$12,AND($F7&gt;12,$F7&lt;=26),'Mezclas MN'!$M$13,$F7&gt;26,'Mezclas MN'!$M$14),$A7="Rio Negro",_xlfn.IFS(AND($F7&gt;0,$F7&lt;=1),'Mezclas RN'!$M$5,AND($F7&gt;1,$F7&lt;=2),'Mezclas RN'!$M$6,AND($F7&gt;2,$F7&lt;=3),'Mezclas RN'!$M$7,AND($F7&gt;3,$F7&lt;=4),'Mezclas RN'!$M$8,AND($F7&gt;4,$F7&lt;=5),'Mezclas RN'!$M$9,AND($F7&gt;5,$F7&lt;=6),'Mezclas RN'!$M$10,AND($F7&gt;6,$F7&lt;=8),'Mezclas RN'!$M$11,AND($F7&gt;8,$F7&lt;=13),'Mezclas RN'!$M$12,AND($F7&gt;13,$F7&lt;=25),'Mezclas RN'!$M$13,$F7&gt;25,'Mezclas RN'!$M$14))</f>
        <v>14</v>
      </c>
      <c r="I7" s="10" t="str">
        <f t="shared" si="3"/>
        <v>Cumple</v>
      </c>
      <c r="J7" s="10">
        <v>0.78</v>
      </c>
      <c r="K7" s="121" cm="1">
        <f t="array" ref="K7">_xlfn.IFS($A7="Quebrada La Marinilla",_xlfn.IFS(AND($F7&gt;0,$F7&lt;=1),'Mezclas MN'!$O$5,AND($F7&gt;1,$F7&lt;=2),'Mezclas MN'!$O$6,AND($F7&gt;2,$F7&lt;=3),'Mezclas MN'!$O$7,AND($F7&gt;3,$F7&lt;=4),'Mezclas MN'!$O$8,AND($F7&gt;4,$F7&lt;=5),'Mezclas MN'!$O$9,AND($F7&gt;5,$F7&lt;=6),'Mezclas MN'!$O$10,AND($F7&gt;6,$F7&lt;=7),'Mezclas MN'!$O$11,AND($F7&gt;7,$F7&lt;=9),'Mezclas MN'!$O$12,AND($F7&gt;9,$F7&lt;=12),'Mezclas MN'!$O$13,AND($F7&gt;12,$F7&lt;=17),'Mezclas MN'!$O$14,AND($F7&gt;17,$F7&lt;=29),'Mezclas MN'!$O$15,$F7&gt;29,'Mezclas MN'!$O$16),$A7="Rio Negro",_xlfn.IFS(AND($F7&gt;0,$F7&lt;=1),'Mezclas RN'!$O$5,AND($F7&gt;1,$F7&lt;=2),'Mezclas RN'!$O$6,AND($F7&gt;2,$F7&lt;=3),'Mezclas RN'!$O$7,AND($F7&gt;3,$F7&lt;=4),'Mezclas RN'!$O$8,AND($F7&gt;4,$F7&lt;=5),'Mezclas RN'!$O$9,AND($F7&gt;5,$F7&lt;=6),'Mezclas RN'!$O$10,AND($F7&gt;6,$F7&lt;=7),'Mezclas RN'!$O$11,AND($F7&gt;7,$F7&lt;=8),'Mezclas RN'!$O$12,AND($F7&gt;8,$F7&lt;=10),'Mezclas RN'!$O$13,AND($F7&gt;10,$F7&lt;=12),'Mezclas RN'!$O$14,AND($F7&gt;12,$F7&lt;=16),'Mezclas RN'!$O$15,AND($F7&gt;16,$F7&lt;=23),'Mezclas RN'!$O$16,AND($F7&gt;23,$F7&lt;=30),'Mezclas RN'!$O$17,$F7&gt;30,'Mezclas RN'!$O$18))</f>
        <v>28</v>
      </c>
      <c r="L7" s="10" t="str">
        <f t="shared" si="4"/>
        <v>Cumple</v>
      </c>
      <c r="M7" s="10">
        <v>0.52</v>
      </c>
      <c r="N7" s="121" cm="1">
        <f t="array" ref="N7">_xlfn.IFS($A7="Quebrada La Marinilla",_xlfn.IFS(AND($F7&gt;0,$F7&lt;=1),'Mezclas MN'!$Q$5,AND($F7&gt;1,$F7&lt;=2),'Mezclas MN'!$Q$6,AND($F7&gt;2,$F7&lt;=3),'Mezclas MN'!$Q$7,AND($F7&gt;3,$F7&lt;=4),'Mezclas MN'!$Q$8,AND($F7&gt;4,$F7&lt;=5),'Mezclas MN'!$Q$9,AND($F7&gt;5,$F7&lt;=6),'Mezclas MN'!$Q$10,AND($F7&gt;6,$F7&lt;=7),'Mezclas MN'!$Q$11,AND($F7&gt;7,$F7&lt;=9),'Mezclas MN'!$Q$12,AND($F7&gt;9,$F7&lt;=11),'Mezclas MN'!$Q$13,AND($F7&gt;11,$F7&lt;=15),'Mezclas MN'!$Q$14,AND($F7&gt;15,$F7&lt;=25),'Mezclas MN'!$Q$15,$F7&gt;25,'Mezclas MN'!$Q$16),$A7="Rio Negro",_xlfn.IFS(AND($F7&gt;0,$F7&lt;=1),'Mezclas RN'!$Q$5,AND($F7&gt;1,$F7&lt;=2),'Mezclas RN'!$Q$6,AND($F7&gt;2,$F7&lt;=3),'Mezclas RN'!$Q$7,AND($F7&gt;3,$F7&lt;=4),'Mezclas RN'!$Q$8,AND($F7&gt;4,$F7&lt;=5),'Mezclas RN'!$Q$9,AND($F7&gt;5,$F7&lt;=6),'Mezclas RN'!$Q$10,AND($F7&gt;6,$F7&lt;=8),'Mezclas RN'!$Q$11,AND($F7&gt;8,$F7&lt;=11),'Mezclas RN'!$Q$12,AND($F7&gt;11,$F7&lt;=19),'Mezclas RN'!$Q$13,$F7&gt;19,'Mezclas RN'!$Q$14))</f>
        <v>16</v>
      </c>
      <c r="O7" s="10" t="str">
        <f t="shared" si="5"/>
        <v>Cumple</v>
      </c>
      <c r="P7" s="120">
        <v>315.60000000000002</v>
      </c>
      <c r="Q7" s="120">
        <v>90</v>
      </c>
      <c r="R7" s="10" t="str">
        <f t="shared" si="0"/>
        <v>No cumple</v>
      </c>
      <c r="S7" s="120">
        <v>740.5</v>
      </c>
      <c r="T7" s="120">
        <v>180</v>
      </c>
      <c r="U7" s="10" t="str">
        <f t="shared" si="1"/>
        <v>No cumple</v>
      </c>
      <c r="V7" s="120">
        <v>170</v>
      </c>
      <c r="W7" s="120">
        <v>90</v>
      </c>
      <c r="X7" s="10" t="str">
        <f t="shared" si="2"/>
        <v>No cumple</v>
      </c>
      <c r="Y7" s="1" t="s">
        <v>671</v>
      </c>
      <c r="Z7" s="1" t="str">
        <f t="shared" si="6"/>
        <v>Si</v>
      </c>
      <c r="AA7" s="1" t="str">
        <f t="shared" si="7"/>
        <v>No</v>
      </c>
      <c r="AB7" s="1" t="str">
        <f t="shared" si="8"/>
        <v>No</v>
      </c>
      <c r="AC7" s="1" t="str">
        <f t="shared" si="9"/>
        <v>No</v>
      </c>
      <c r="AD7" t="s">
        <v>672</v>
      </c>
    </row>
    <row r="8" spans="1:30" x14ac:dyDescent="0.25">
      <c r="A8" t="s">
        <v>51</v>
      </c>
      <c r="B8" t="s">
        <v>734</v>
      </c>
      <c r="C8" t="s">
        <v>666</v>
      </c>
      <c r="D8" t="s">
        <v>656</v>
      </c>
      <c r="E8" s="1" t="s">
        <v>657</v>
      </c>
      <c r="F8" s="10">
        <v>31.13</v>
      </c>
      <c r="G8" s="10">
        <v>3</v>
      </c>
      <c r="H8" s="10" cm="1">
        <f t="array" ref="H8">_xlfn.IFS($A8="Quebrada La Marinilla",_xlfn.IFS(AND($F8&gt;0,$F8&lt;=1),'Mezclas MN'!$M$5,AND($F8&gt;1,$F8&lt;=2),'Mezclas MN'!$M$6,AND($F8&gt;2,$F8&lt;=3),'Mezclas MN'!$M$7,AND($F8&gt;3,$F8&lt;=4),'Mezclas MN'!$M$8,AND($F8&gt;4,$F8&lt;=5),'Mezclas MN'!$M$9,AND($F8&gt;5,$F8&lt;=6),'Mezclas MN'!$M$10,AND($F8&gt;6,$F8&lt;=8),'Mezclas MN'!$M$11,AND($F8&gt;8,$F8&lt;=12),'Mezclas MN'!$M$12,AND($F8&gt;12,$F8&lt;=26),'Mezclas MN'!$M$13,$F8&gt;26,'Mezclas MN'!$M$14),$A8="Rio Negro",_xlfn.IFS(AND($F8&gt;0,$F8&lt;=1),'Mezclas RN'!$M$5,AND($F8&gt;1,$F8&lt;=2),'Mezclas RN'!$M$6,AND($F8&gt;2,$F8&lt;=3),'Mezclas RN'!$M$7,AND($F8&gt;3,$F8&lt;=4),'Mezclas RN'!$M$8,AND($F8&gt;4,$F8&lt;=5),'Mezclas RN'!$M$9,AND($F8&gt;5,$F8&lt;=6),'Mezclas RN'!$M$10,AND($F8&gt;6,$F8&lt;=8),'Mezclas RN'!$M$11,AND($F8&gt;8,$F8&lt;=13),'Mezclas RN'!$M$12,AND($F8&gt;13,$F8&lt;=25),'Mezclas RN'!$M$13,$F8&gt;25,'Mezclas RN'!$M$14))</f>
        <v>1</v>
      </c>
      <c r="I8" s="10" t="str">
        <f t="shared" si="3"/>
        <v>No cumple</v>
      </c>
      <c r="J8" s="10">
        <v>1.88</v>
      </c>
      <c r="K8" s="121" cm="1">
        <f t="array" ref="K8">_xlfn.IFS($A8="Quebrada La Marinilla",_xlfn.IFS(AND($F8&gt;0,$F8&lt;=1),'Mezclas MN'!$O$5,AND($F8&gt;1,$F8&lt;=2),'Mezclas MN'!$O$6,AND($F8&gt;2,$F8&lt;=3),'Mezclas MN'!$O$7,AND($F8&gt;3,$F8&lt;=4),'Mezclas MN'!$O$8,AND($F8&gt;4,$F8&lt;=5),'Mezclas MN'!$O$9,AND($F8&gt;5,$F8&lt;=6),'Mezclas MN'!$O$10,AND($F8&gt;6,$F8&lt;=7),'Mezclas MN'!$O$11,AND($F8&gt;7,$F8&lt;=9),'Mezclas MN'!$O$12,AND($F8&gt;9,$F8&lt;=12),'Mezclas MN'!$O$13,AND($F8&gt;12,$F8&lt;=17),'Mezclas MN'!$O$14,AND($F8&gt;17,$F8&lt;=29),'Mezclas MN'!$O$15,$F8&gt;29,'Mezclas MN'!$O$16),$A8="Rio Negro",_xlfn.IFS(AND($F8&gt;0,$F8&lt;=1),'Mezclas RN'!$O$5,AND($F8&gt;1,$F8&lt;=2),'Mezclas RN'!$O$6,AND($F8&gt;2,$F8&lt;=3),'Mezclas RN'!$O$7,AND($F8&gt;3,$F8&lt;=4),'Mezclas RN'!$O$8,AND($F8&gt;4,$F8&lt;=5),'Mezclas RN'!$O$9,AND($F8&gt;5,$F8&lt;=6),'Mezclas RN'!$O$10,AND($F8&gt;6,$F8&lt;=7),'Mezclas RN'!$O$11,AND($F8&gt;7,$F8&lt;=8),'Mezclas RN'!$O$12,AND($F8&gt;8,$F8&lt;=10),'Mezclas RN'!$O$13,AND($F8&gt;10,$F8&lt;=12),'Mezclas RN'!$O$14,AND($F8&gt;12,$F8&lt;=16),'Mezclas RN'!$O$15,AND($F8&gt;16,$F8&lt;=23),'Mezclas RN'!$O$16,AND($F8&gt;23,$F8&lt;=30),'Mezclas RN'!$O$17,$F8&gt;30,'Mezclas RN'!$O$18))</f>
        <v>1</v>
      </c>
      <c r="L8" s="10" t="str">
        <f t="shared" si="4"/>
        <v>No cumple</v>
      </c>
      <c r="M8" s="10">
        <v>1.36</v>
      </c>
      <c r="N8" s="121" cm="1">
        <f t="array" ref="N8">_xlfn.IFS($A8="Quebrada La Marinilla",_xlfn.IFS(AND($F8&gt;0,$F8&lt;=1),'Mezclas MN'!$Q$5,AND($F8&gt;1,$F8&lt;=2),'Mezclas MN'!$Q$6,AND($F8&gt;2,$F8&lt;=3),'Mezclas MN'!$Q$7,AND($F8&gt;3,$F8&lt;=4),'Mezclas MN'!$Q$8,AND($F8&gt;4,$F8&lt;=5),'Mezclas MN'!$Q$9,AND($F8&gt;5,$F8&lt;=6),'Mezclas MN'!$Q$10,AND($F8&gt;6,$F8&lt;=7),'Mezclas MN'!$Q$11,AND($F8&gt;7,$F8&lt;=9),'Mezclas MN'!$Q$12,AND($F8&gt;9,$F8&lt;=11),'Mezclas MN'!$Q$13,AND($F8&gt;11,$F8&lt;=15),'Mezclas MN'!$Q$14,AND($F8&gt;15,$F8&lt;=25),'Mezclas MN'!$Q$15,$F8&gt;25,'Mezclas MN'!$Q$16),$A8="Rio Negro",_xlfn.IFS(AND($F8&gt;0,$F8&lt;=1),'Mezclas RN'!$Q$5,AND($F8&gt;1,$F8&lt;=2),'Mezclas RN'!$Q$6,AND($F8&gt;2,$F8&lt;=3),'Mezclas RN'!$Q$7,AND($F8&gt;3,$F8&lt;=4),'Mezclas RN'!$Q$8,AND($F8&gt;4,$F8&lt;=5),'Mezclas RN'!$Q$9,AND($F8&gt;5,$F8&lt;=6),'Mezclas RN'!$Q$10,AND($F8&gt;6,$F8&lt;=8),'Mezclas RN'!$Q$11,AND($F8&gt;8,$F8&lt;=11),'Mezclas RN'!$Q$12,AND($F8&gt;11,$F8&lt;=19),'Mezclas RN'!$Q$13,$F8&gt;19,'Mezclas RN'!$Q$14))</f>
        <v>1</v>
      </c>
      <c r="O8" s="10" t="str">
        <f t="shared" si="5"/>
        <v>No cumple</v>
      </c>
      <c r="P8" s="120">
        <v>10</v>
      </c>
      <c r="Q8" s="120">
        <v>50</v>
      </c>
      <c r="R8" s="10" t="str">
        <f t="shared" ref="R8:R20" si="10">IF(P8&lt;Q8,"Cumple","No cumple")</f>
        <v>Cumple</v>
      </c>
      <c r="S8" s="120">
        <v>15</v>
      </c>
      <c r="T8" s="120">
        <v>150</v>
      </c>
      <c r="U8" s="10" t="str">
        <f t="shared" ref="U8:U20" si="11">IF(S8&lt;T8,"Cumple","No cumple")</f>
        <v>Cumple</v>
      </c>
      <c r="V8" s="120">
        <v>17</v>
      </c>
      <c r="W8" s="120">
        <v>50</v>
      </c>
      <c r="X8" s="10" t="str">
        <f t="shared" si="2"/>
        <v>Cumple</v>
      </c>
      <c r="Y8" s="1" t="s">
        <v>673</v>
      </c>
      <c r="Z8" s="1" t="str">
        <f t="shared" si="6"/>
        <v>No</v>
      </c>
      <c r="AA8" s="1" t="str">
        <f t="shared" si="7"/>
        <v>Si</v>
      </c>
      <c r="AB8" s="1" t="str">
        <f t="shared" si="8"/>
        <v>Si</v>
      </c>
      <c r="AC8" s="1" t="str">
        <f t="shared" si="9"/>
        <v>Si</v>
      </c>
      <c r="AD8" t="s">
        <v>674</v>
      </c>
    </row>
    <row r="9" spans="1:30" x14ac:dyDescent="0.25">
      <c r="A9" t="s">
        <v>51</v>
      </c>
      <c r="B9" t="s">
        <v>735</v>
      </c>
      <c r="C9" t="s">
        <v>655</v>
      </c>
      <c r="D9" t="s">
        <v>661</v>
      </c>
      <c r="E9" s="1" t="s">
        <v>657</v>
      </c>
      <c r="F9" s="10">
        <v>0.04</v>
      </c>
      <c r="G9" s="10">
        <v>1.44</v>
      </c>
      <c r="H9" s="10" cm="1">
        <f t="array" ref="H9">_xlfn.IFS($A9="Quebrada La Marinilla",_xlfn.IFS(AND($F9&gt;0,$F9&lt;=1),'Mezclas MN'!$M$5,AND($F9&gt;1,$F9&lt;=2),'Mezclas MN'!$M$6,AND($F9&gt;2,$F9&lt;=3),'Mezclas MN'!$M$7,AND($F9&gt;3,$F9&lt;=4),'Mezclas MN'!$M$8,AND($F9&gt;4,$F9&lt;=5),'Mezclas MN'!$M$9,AND($F9&gt;5,$F9&lt;=6),'Mezclas MN'!$M$10,AND($F9&gt;6,$F9&lt;=8),'Mezclas MN'!$M$11,AND($F9&gt;8,$F9&lt;=12),'Mezclas MN'!$M$12,AND($F9&gt;12,$F9&lt;=26),'Mezclas MN'!$M$13,$F9&gt;26,'Mezclas MN'!$M$14),$A9="Rio Negro",_xlfn.IFS(AND($F9&gt;0,$F9&lt;=1),'Mezclas RN'!$M$5,AND($F9&gt;1,$F9&lt;=2),'Mezclas RN'!$M$6,AND($F9&gt;2,$F9&lt;=3),'Mezclas RN'!$M$7,AND($F9&gt;3,$F9&lt;=4),'Mezclas RN'!$M$8,AND($F9&gt;4,$F9&lt;=5),'Mezclas RN'!$M$9,AND($F9&gt;5,$F9&lt;=6),'Mezclas RN'!$M$10,AND($F9&gt;6,$F9&lt;=8),'Mezclas RN'!$M$11,AND($F9&gt;8,$F9&lt;=13),'Mezclas RN'!$M$12,AND($F9&gt;13,$F9&lt;=25),'Mezclas RN'!$M$13,$F9&gt;25,'Mezclas RN'!$M$14))</f>
        <v>27</v>
      </c>
      <c r="I9" s="10" t="str">
        <f t="shared" si="3"/>
        <v>Cumple</v>
      </c>
      <c r="J9" s="10">
        <v>0.56000000000000005</v>
      </c>
      <c r="K9" s="121" cm="1">
        <f t="array" ref="K9">_xlfn.IFS($A9="Quebrada La Marinilla",_xlfn.IFS(AND($F9&gt;0,$F9&lt;=1),'Mezclas MN'!$O$5,AND($F9&gt;1,$F9&lt;=2),'Mezclas MN'!$O$6,AND($F9&gt;2,$F9&lt;=3),'Mezclas MN'!$O$7,AND($F9&gt;3,$F9&lt;=4),'Mezclas MN'!$O$8,AND($F9&gt;4,$F9&lt;=5),'Mezclas MN'!$O$9,AND($F9&gt;5,$F9&lt;=6),'Mezclas MN'!$O$10,AND($F9&gt;6,$F9&lt;=7),'Mezclas MN'!$O$11,AND($F9&gt;7,$F9&lt;=9),'Mezclas MN'!$O$12,AND($F9&gt;9,$F9&lt;=12),'Mezclas MN'!$O$13,AND($F9&gt;12,$F9&lt;=17),'Mezclas MN'!$O$14,AND($F9&gt;17,$F9&lt;=29),'Mezclas MN'!$O$15,$F9&gt;29,'Mezclas MN'!$O$16),$A9="Rio Negro",_xlfn.IFS(AND($F9&gt;0,$F9&lt;=1),'Mezclas RN'!$O$5,AND($F9&gt;1,$F9&lt;=2),'Mezclas RN'!$O$6,AND($F9&gt;2,$F9&lt;=3),'Mezclas RN'!$O$7,AND($F9&gt;3,$F9&lt;=4),'Mezclas RN'!$O$8,AND($F9&gt;4,$F9&lt;=5),'Mezclas RN'!$O$9,AND($F9&gt;5,$F9&lt;=6),'Mezclas RN'!$O$10,AND($F9&gt;6,$F9&lt;=7),'Mezclas RN'!$O$11,AND($F9&gt;7,$F9&lt;=8),'Mezclas RN'!$O$12,AND($F9&gt;8,$F9&lt;=10),'Mezclas RN'!$O$13,AND($F9&gt;10,$F9&lt;=12),'Mezclas RN'!$O$14,AND($F9&gt;12,$F9&lt;=16),'Mezclas RN'!$O$15,AND($F9&gt;16,$F9&lt;=23),'Mezclas RN'!$O$16,AND($F9&gt;23,$F9&lt;=30),'Mezclas RN'!$O$17,$F9&gt;30,'Mezclas RN'!$O$18))</f>
        <v>57</v>
      </c>
      <c r="L9" s="10" t="str">
        <f t="shared" si="4"/>
        <v>Cumple</v>
      </c>
      <c r="M9" s="10">
        <v>0.28000000000000003</v>
      </c>
      <c r="N9" s="121" cm="1">
        <f t="array" ref="N9">_xlfn.IFS($A9="Quebrada La Marinilla",_xlfn.IFS(AND($F9&gt;0,$F9&lt;=1),'Mezclas MN'!$Q$5,AND($F9&gt;1,$F9&lt;=2),'Mezclas MN'!$Q$6,AND($F9&gt;2,$F9&lt;=3),'Mezclas MN'!$Q$7,AND($F9&gt;3,$F9&lt;=4),'Mezclas MN'!$Q$8,AND($F9&gt;4,$F9&lt;=5),'Mezclas MN'!$Q$9,AND($F9&gt;5,$F9&lt;=6),'Mezclas MN'!$Q$10,AND($F9&gt;6,$F9&lt;=7),'Mezclas MN'!$Q$11,AND($F9&gt;7,$F9&lt;=9),'Mezclas MN'!$Q$12,AND($F9&gt;9,$F9&lt;=11),'Mezclas MN'!$Q$13,AND($F9&gt;11,$F9&lt;=15),'Mezclas MN'!$Q$14,AND($F9&gt;15,$F9&lt;=25),'Mezclas MN'!$Q$15,$F9&gt;25,'Mezclas MN'!$Q$16),$A9="Rio Negro",_xlfn.IFS(AND($F9&gt;0,$F9&lt;=1),'Mezclas RN'!$Q$5,AND($F9&gt;1,$F9&lt;=2),'Mezclas RN'!$Q$6,AND($F9&gt;2,$F9&lt;=3),'Mezclas RN'!$Q$7,AND($F9&gt;3,$F9&lt;=4),'Mezclas RN'!$Q$8,AND($F9&gt;4,$F9&lt;=5),'Mezclas RN'!$Q$9,AND($F9&gt;5,$F9&lt;=6),'Mezclas RN'!$Q$10,AND($F9&gt;6,$F9&lt;=8),'Mezclas RN'!$Q$11,AND($F9&gt;8,$F9&lt;=11),'Mezclas RN'!$Q$12,AND($F9&gt;11,$F9&lt;=19),'Mezclas RN'!$Q$13,$F9&gt;19,'Mezclas RN'!$Q$14))</f>
        <v>31</v>
      </c>
      <c r="O9" s="10" t="str">
        <f t="shared" si="5"/>
        <v>Cumple</v>
      </c>
      <c r="P9" s="120">
        <v>21.8</v>
      </c>
      <c r="Q9" s="120">
        <v>400</v>
      </c>
      <c r="R9" s="10" t="str">
        <f t="shared" si="10"/>
        <v>Cumple</v>
      </c>
      <c r="S9" s="120">
        <v>78</v>
      </c>
      <c r="T9" s="120">
        <v>800</v>
      </c>
      <c r="U9" s="10" t="str">
        <f t="shared" si="11"/>
        <v>Cumple</v>
      </c>
      <c r="V9" s="120">
        <v>13</v>
      </c>
      <c r="W9" s="120">
        <v>200</v>
      </c>
      <c r="X9" s="10" t="str">
        <f t="shared" ref="X9:X20" si="12">IF(V9&lt;W9,"Cumple","No cumple")</f>
        <v>Cumple</v>
      </c>
      <c r="Y9" s="1">
        <v>7.37</v>
      </c>
      <c r="Z9" s="1" t="str">
        <f t="shared" si="6"/>
        <v>Si</v>
      </c>
      <c r="AA9" s="1" t="str">
        <f t="shared" si="7"/>
        <v>Si</v>
      </c>
      <c r="AB9" s="1" t="str">
        <f t="shared" si="8"/>
        <v>Si</v>
      </c>
      <c r="AC9" s="1" t="str">
        <f t="shared" si="9"/>
        <v>Si</v>
      </c>
      <c r="AD9" t="s">
        <v>659</v>
      </c>
    </row>
    <row r="10" spans="1:30" x14ac:dyDescent="0.25">
      <c r="A10" t="s">
        <v>51</v>
      </c>
      <c r="B10" t="s">
        <v>736</v>
      </c>
      <c r="C10" t="s">
        <v>666</v>
      </c>
      <c r="D10" t="s">
        <v>656</v>
      </c>
      <c r="E10" s="1" t="s">
        <v>657</v>
      </c>
      <c r="F10" s="10">
        <v>13.92</v>
      </c>
      <c r="G10" s="10">
        <v>21.8</v>
      </c>
      <c r="H10" s="10" cm="1">
        <f t="array" ref="H10">_xlfn.IFS($A10="Quebrada La Marinilla",_xlfn.IFS(AND($F10&gt;0,$F10&lt;=1),'Mezclas MN'!$M$5,AND($F10&gt;1,$F10&lt;=2),'Mezclas MN'!$M$6,AND($F10&gt;2,$F10&lt;=3),'Mezclas MN'!$M$7,AND($F10&gt;3,$F10&lt;=4),'Mezclas MN'!$M$8,AND($F10&gt;4,$F10&lt;=5),'Mezclas MN'!$M$9,AND($F10&gt;5,$F10&lt;=6),'Mezclas MN'!$M$10,AND($F10&gt;6,$F10&lt;=8),'Mezclas MN'!$M$11,AND($F10&gt;8,$F10&lt;=12),'Mezclas MN'!$M$12,AND($F10&gt;12,$F10&lt;=26),'Mezclas MN'!$M$13,$F10&gt;26,'Mezclas MN'!$M$14),$A10="Rio Negro",_xlfn.IFS(AND($F10&gt;0,$F10&lt;=1),'Mezclas RN'!$M$5,AND($F10&gt;1,$F10&lt;=2),'Mezclas RN'!$M$6,AND($F10&gt;2,$F10&lt;=3),'Mezclas RN'!$M$7,AND($F10&gt;3,$F10&lt;=4),'Mezclas RN'!$M$8,AND($F10&gt;4,$F10&lt;=5),'Mezclas RN'!$M$9,AND($F10&gt;5,$F10&lt;=6),'Mezclas RN'!$M$10,AND($F10&gt;6,$F10&lt;=8),'Mezclas RN'!$M$11,AND($F10&gt;8,$F10&lt;=13),'Mezclas RN'!$M$12,AND($F10&gt;13,$F10&lt;=25),'Mezclas RN'!$M$13,$F10&gt;25,'Mezclas RN'!$M$14))</f>
        <v>2</v>
      </c>
      <c r="I10" s="10" t="str">
        <f t="shared" si="3"/>
        <v>No cumple</v>
      </c>
      <c r="J10" s="10">
        <v>16</v>
      </c>
      <c r="K10" s="121" cm="1">
        <f t="array" ref="K10">_xlfn.IFS($A10="Quebrada La Marinilla",_xlfn.IFS(AND($F10&gt;0,$F10&lt;=1),'Mezclas MN'!$O$5,AND($F10&gt;1,$F10&lt;=2),'Mezclas MN'!$O$6,AND($F10&gt;2,$F10&lt;=3),'Mezclas MN'!$O$7,AND($F10&gt;3,$F10&lt;=4),'Mezclas MN'!$O$8,AND($F10&gt;4,$F10&lt;=5),'Mezclas MN'!$O$9,AND($F10&gt;5,$F10&lt;=6),'Mezclas MN'!$O$10,AND($F10&gt;6,$F10&lt;=7),'Mezclas MN'!$O$11,AND($F10&gt;7,$F10&lt;=9),'Mezclas MN'!$O$12,AND($F10&gt;9,$F10&lt;=12),'Mezclas MN'!$O$13,AND($F10&gt;12,$F10&lt;=17),'Mezclas MN'!$O$14,AND($F10&gt;17,$F10&lt;=29),'Mezclas MN'!$O$15,$F10&gt;29,'Mezclas MN'!$O$16),$A10="Rio Negro",_xlfn.IFS(AND($F10&gt;0,$F10&lt;=1),'Mezclas RN'!$O$5,AND($F10&gt;1,$F10&lt;=2),'Mezclas RN'!$O$6,AND($F10&gt;2,$F10&lt;=3),'Mezclas RN'!$O$7,AND($F10&gt;3,$F10&lt;=4),'Mezclas RN'!$O$8,AND($F10&gt;4,$F10&lt;=5),'Mezclas RN'!$O$9,AND($F10&gt;5,$F10&lt;=6),'Mezclas RN'!$O$10,AND($F10&gt;6,$F10&lt;=7),'Mezclas RN'!$O$11,AND($F10&gt;7,$F10&lt;=8),'Mezclas RN'!$O$12,AND($F10&gt;8,$F10&lt;=10),'Mezclas RN'!$O$13,AND($F10&gt;10,$F10&lt;=12),'Mezclas RN'!$O$14,AND($F10&gt;12,$F10&lt;=16),'Mezclas RN'!$O$15,AND($F10&gt;16,$F10&lt;=23),'Mezclas RN'!$O$16,AND($F10&gt;23,$F10&lt;=30),'Mezclas RN'!$O$17,$F10&gt;30,'Mezclas RN'!$O$18))</f>
        <v>4</v>
      </c>
      <c r="L10" s="10" t="str">
        <f t="shared" si="4"/>
        <v>No cumple</v>
      </c>
      <c r="M10" s="10">
        <v>12.1</v>
      </c>
      <c r="N10" s="121" cm="1">
        <f t="array" ref="N10">_xlfn.IFS($A10="Quebrada La Marinilla",_xlfn.IFS(AND($F10&gt;0,$F10&lt;=1),'Mezclas MN'!$Q$5,AND($F10&gt;1,$F10&lt;=2),'Mezclas MN'!$Q$6,AND($F10&gt;2,$F10&lt;=3),'Mezclas MN'!$Q$7,AND($F10&gt;3,$F10&lt;=4),'Mezclas MN'!$Q$8,AND($F10&gt;4,$F10&lt;=5),'Mezclas MN'!$Q$9,AND($F10&gt;5,$F10&lt;=6),'Mezclas MN'!$Q$10,AND($F10&gt;6,$F10&lt;=7),'Mezclas MN'!$Q$11,AND($F10&gt;7,$F10&lt;=9),'Mezclas MN'!$Q$12,AND($F10&gt;9,$F10&lt;=11),'Mezclas MN'!$Q$13,AND($F10&gt;11,$F10&lt;=15),'Mezclas MN'!$Q$14,AND($F10&gt;15,$F10&lt;=25),'Mezclas MN'!$Q$15,$F10&gt;25,'Mezclas MN'!$Q$16),$A10="Rio Negro",_xlfn.IFS(AND($F10&gt;0,$F10&lt;=1),'Mezclas RN'!$Q$5,AND($F10&gt;1,$F10&lt;=2),'Mezclas RN'!$Q$6,AND($F10&gt;2,$F10&lt;=3),'Mezclas RN'!$Q$7,AND($F10&gt;3,$F10&lt;=4),'Mezclas RN'!$Q$8,AND($F10&gt;4,$F10&lt;=5),'Mezclas RN'!$Q$9,AND($F10&gt;5,$F10&lt;=6),'Mezclas RN'!$Q$10,AND($F10&gt;6,$F10&lt;=8),'Mezclas RN'!$Q$11,AND($F10&gt;8,$F10&lt;=11),'Mezclas RN'!$Q$12,AND($F10&gt;11,$F10&lt;=19),'Mezclas RN'!$Q$13,$F10&gt;19,'Mezclas RN'!$Q$14))</f>
        <v>2</v>
      </c>
      <c r="O10" s="10" t="str">
        <f>IF(M10&lt;N10,"Cumple","No cumple")</f>
        <v>No cumple</v>
      </c>
      <c r="P10" s="120">
        <v>85.9</v>
      </c>
      <c r="Q10" s="120">
        <v>90</v>
      </c>
      <c r="R10" s="10" t="str">
        <f t="shared" si="10"/>
        <v>Cumple</v>
      </c>
      <c r="S10" s="120">
        <v>213</v>
      </c>
      <c r="T10" s="120">
        <v>180</v>
      </c>
      <c r="U10" s="10" t="str">
        <f t="shared" si="11"/>
        <v>No cumple</v>
      </c>
      <c r="V10" s="120">
        <v>11.4</v>
      </c>
      <c r="W10" s="120">
        <v>90</v>
      </c>
      <c r="X10" s="10" t="str">
        <f t="shared" si="12"/>
        <v>Cumple</v>
      </c>
      <c r="Y10" s="1" t="s">
        <v>676</v>
      </c>
      <c r="Z10" s="1" t="str">
        <f t="shared" si="6"/>
        <v>No</v>
      </c>
      <c r="AA10" s="1" t="str">
        <f t="shared" si="7"/>
        <v>Si</v>
      </c>
      <c r="AB10" s="1" t="str">
        <f t="shared" si="8"/>
        <v>No</v>
      </c>
      <c r="AC10" s="1" t="str">
        <f t="shared" si="9"/>
        <v>Si</v>
      </c>
      <c r="AD10" t="s">
        <v>677</v>
      </c>
    </row>
    <row r="11" spans="1:30" x14ac:dyDescent="0.25">
      <c r="A11" t="s">
        <v>65</v>
      </c>
      <c r="B11" t="s">
        <v>737</v>
      </c>
      <c r="C11" t="s">
        <v>678</v>
      </c>
      <c r="D11" t="s">
        <v>679</v>
      </c>
      <c r="E11" s="1" t="s">
        <v>670</v>
      </c>
      <c r="F11" s="10">
        <v>42.093666666666664</v>
      </c>
      <c r="G11" s="10">
        <v>4.96</v>
      </c>
      <c r="H11" s="10" cm="1">
        <f t="array" ref="H11">_xlfn.IFS($A11="Quebrada La Marinilla",_xlfn.IFS(AND($F11&gt;0,$F11&lt;=1),'Mezclas MN'!$M$5,AND($F11&gt;1,$F11&lt;=2),'Mezclas MN'!$M$6,AND($F11&gt;2,$F11&lt;=3),'Mezclas MN'!$M$7,AND($F11&gt;3,$F11&lt;=4),'Mezclas MN'!$M$8,AND($F11&gt;4,$F11&lt;=5),'Mezclas MN'!$M$9,AND($F11&gt;5,$F11&lt;=6),'Mezclas MN'!$M$10,AND($F11&gt;6,$F11&lt;=8),'Mezclas MN'!$M$11,AND($F11&gt;8,$F11&lt;=12),'Mezclas MN'!$M$12,AND($F11&gt;12,$F11&lt;=26),'Mezclas MN'!$M$13,$F11&gt;26,'Mezclas MN'!$M$14),$A11="Rio Negro",_xlfn.IFS(AND($F11&gt;0,$F11&lt;=1),'Mezclas RN'!$M$5,AND($F11&gt;1,$F11&lt;=2),'Mezclas RN'!$M$6,AND($F11&gt;2,$F11&lt;=3),'Mezclas RN'!$M$7,AND($F11&gt;3,$F11&lt;=4),'Mezclas RN'!$M$8,AND($F11&gt;4,$F11&lt;=5),'Mezclas RN'!$M$9,AND($F11&gt;5,$F11&lt;=6),'Mezclas RN'!$M$10,AND($F11&gt;6,$F11&lt;=8),'Mezclas RN'!$M$11,AND($F11&gt;8,$F11&lt;=13),'Mezclas RN'!$M$12,AND($F11&gt;13,$F11&lt;=25),'Mezclas RN'!$M$13,$F11&gt;25,'Mezclas RN'!$M$14))</f>
        <v>1</v>
      </c>
      <c r="I11" s="10" t="str">
        <f t="shared" si="3"/>
        <v>No cumple</v>
      </c>
      <c r="J11" s="10">
        <v>2.84</v>
      </c>
      <c r="K11" s="121" cm="1">
        <f t="array" ref="K11">_xlfn.IFS($A11="Quebrada La Marinilla",_xlfn.IFS(AND($F11&gt;0,$F11&lt;=1),'Mezclas MN'!$O$5,AND($F11&gt;1,$F11&lt;=2),'Mezclas MN'!$O$6,AND($F11&gt;2,$F11&lt;=3),'Mezclas MN'!$O$7,AND($F11&gt;3,$F11&lt;=4),'Mezclas MN'!$O$8,AND($F11&gt;4,$F11&lt;=5),'Mezclas MN'!$O$9,AND($F11&gt;5,$F11&lt;=6),'Mezclas MN'!$O$10,AND($F11&gt;6,$F11&lt;=7),'Mezclas MN'!$O$11,AND($F11&gt;7,$F11&lt;=9),'Mezclas MN'!$O$12,AND($F11&gt;9,$F11&lt;=12),'Mezclas MN'!$O$13,AND($F11&gt;12,$F11&lt;=17),'Mezclas MN'!$O$14,AND($F11&gt;17,$F11&lt;=29),'Mezclas MN'!$O$15,$F11&gt;29,'Mezclas MN'!$O$16),$A11="Rio Negro",_xlfn.IFS(AND($F11&gt;0,$F11&lt;=1),'Mezclas RN'!$O$5,AND($F11&gt;1,$F11&lt;=2),'Mezclas RN'!$O$6,AND($F11&gt;2,$F11&lt;=3),'Mezclas RN'!$O$7,AND($F11&gt;3,$F11&lt;=4),'Mezclas RN'!$O$8,AND($F11&gt;4,$F11&lt;=5),'Mezclas RN'!$O$9,AND($F11&gt;5,$F11&lt;=6),'Mezclas RN'!$O$10,AND($F11&gt;6,$F11&lt;=7),'Mezclas RN'!$O$11,AND($F11&gt;7,$F11&lt;=8),'Mezclas RN'!$O$12,AND($F11&gt;8,$F11&lt;=10),'Mezclas RN'!$O$13,AND($F11&gt;10,$F11&lt;=12),'Mezclas RN'!$O$14,AND($F11&gt;12,$F11&lt;=16),'Mezclas RN'!$O$15,AND($F11&gt;16,$F11&lt;=23),'Mezclas RN'!$O$16,AND($F11&gt;23,$F11&lt;=30),'Mezclas RN'!$O$17,$F11&gt;30,'Mezclas RN'!$O$18))</f>
        <v>1</v>
      </c>
      <c r="L11" s="10" t="str">
        <f t="shared" si="4"/>
        <v>No cumple</v>
      </c>
      <c r="M11" s="10">
        <v>1.88</v>
      </c>
      <c r="N11" s="121" cm="1">
        <f t="array" ref="N11">_xlfn.IFS($A11="Quebrada La Marinilla",_xlfn.IFS(AND($F11&gt;0,$F11&lt;=1),'Mezclas MN'!$Q$5,AND($F11&gt;1,$F11&lt;=2),'Mezclas MN'!$Q$6,AND($F11&gt;2,$F11&lt;=3),'Mezclas MN'!$Q$7,AND($F11&gt;3,$F11&lt;=4),'Mezclas MN'!$Q$8,AND($F11&gt;4,$F11&lt;=5),'Mezclas MN'!$Q$9,AND($F11&gt;5,$F11&lt;=6),'Mezclas MN'!$Q$10,AND($F11&gt;6,$F11&lt;=7),'Mezclas MN'!$Q$11,AND($F11&gt;7,$F11&lt;=9),'Mezclas MN'!$Q$12,AND($F11&gt;9,$F11&lt;=11),'Mezclas MN'!$Q$13,AND($F11&gt;11,$F11&lt;=15),'Mezclas MN'!$Q$14,AND($F11&gt;15,$F11&lt;=25),'Mezclas MN'!$Q$15,$F11&gt;25,'Mezclas MN'!$Q$16),$A11="Rio Negro",_xlfn.IFS(AND($F11&gt;0,$F11&lt;=1),'Mezclas RN'!$Q$5,AND($F11&gt;1,$F11&lt;=2),'Mezclas RN'!$Q$6,AND($F11&gt;2,$F11&lt;=3),'Mezclas RN'!$Q$7,AND($F11&gt;3,$F11&lt;=4),'Mezclas RN'!$Q$8,AND($F11&gt;4,$F11&lt;=5),'Mezclas RN'!$Q$9,AND($F11&gt;5,$F11&lt;=6),'Mezclas RN'!$Q$10,AND($F11&gt;6,$F11&lt;=8),'Mezclas RN'!$Q$11,AND($F11&gt;8,$F11&lt;=11),'Mezclas RN'!$Q$12,AND($F11&gt;11,$F11&lt;=19),'Mezclas RN'!$Q$13,$F11&gt;19,'Mezclas RN'!$Q$14))</f>
        <v>1</v>
      </c>
      <c r="O11" s="10" t="str">
        <f t="shared" si="5"/>
        <v>No cumple</v>
      </c>
      <c r="P11" s="120">
        <v>121.6</v>
      </c>
      <c r="Q11" s="120">
        <v>90</v>
      </c>
      <c r="R11" s="10" t="str">
        <f t="shared" si="10"/>
        <v>No cumple</v>
      </c>
      <c r="S11" s="120">
        <v>280</v>
      </c>
      <c r="T11" s="120">
        <v>180</v>
      </c>
      <c r="U11" s="10" t="str">
        <f t="shared" si="11"/>
        <v>No cumple</v>
      </c>
      <c r="V11" s="120">
        <v>91</v>
      </c>
      <c r="W11" s="120">
        <v>90</v>
      </c>
      <c r="X11" s="10" t="str">
        <f t="shared" si="12"/>
        <v>No cumple</v>
      </c>
      <c r="Y11" s="1" t="s">
        <v>680</v>
      </c>
      <c r="Z11" s="1" t="str">
        <f t="shared" si="6"/>
        <v>No</v>
      </c>
      <c r="AA11" s="1" t="str">
        <f t="shared" si="7"/>
        <v>No</v>
      </c>
      <c r="AB11" s="1" t="str">
        <f t="shared" si="8"/>
        <v>No</v>
      </c>
      <c r="AC11" s="1" t="str">
        <f t="shared" si="9"/>
        <v>No</v>
      </c>
      <c r="AD11" t="s">
        <v>663</v>
      </c>
    </row>
    <row r="12" spans="1:30" x14ac:dyDescent="0.25">
      <c r="A12" t="s">
        <v>65</v>
      </c>
      <c r="B12" t="s">
        <v>738</v>
      </c>
      <c r="C12" t="s">
        <v>678</v>
      </c>
      <c r="D12" t="s">
        <v>679</v>
      </c>
      <c r="E12" s="1" t="s">
        <v>670</v>
      </c>
      <c r="F12" s="10">
        <v>42.093666666666664</v>
      </c>
      <c r="G12" s="10">
        <v>7.78</v>
      </c>
      <c r="H12" s="10" cm="1">
        <f t="array" ref="H12">_xlfn.IFS($A12="Quebrada La Marinilla",_xlfn.IFS(AND($F12&gt;0,$F12&lt;=1),'Mezclas MN'!$M$5,AND($F12&gt;1,$F12&lt;=2),'Mezclas MN'!$M$6,AND($F12&gt;2,$F12&lt;=3),'Mezclas MN'!$M$7,AND($F12&gt;3,$F12&lt;=4),'Mezclas MN'!$M$8,AND($F12&gt;4,$F12&lt;=5),'Mezclas MN'!$M$9,AND($F12&gt;5,$F12&lt;=6),'Mezclas MN'!$M$10,AND($F12&gt;6,$F12&lt;=8),'Mezclas MN'!$M$11,AND($F12&gt;8,$F12&lt;=12),'Mezclas MN'!$M$12,AND($F12&gt;12,$F12&lt;=26),'Mezclas MN'!$M$13,$F12&gt;26,'Mezclas MN'!$M$14),$A12="Rio Negro",_xlfn.IFS(AND($F12&gt;0,$F12&lt;=1),'Mezclas RN'!$M$5,AND($F12&gt;1,$F12&lt;=2),'Mezclas RN'!$M$6,AND($F12&gt;2,$F12&lt;=3),'Mezclas RN'!$M$7,AND($F12&gt;3,$F12&lt;=4),'Mezclas RN'!$M$8,AND($F12&gt;4,$F12&lt;=5),'Mezclas RN'!$M$9,AND($F12&gt;5,$F12&lt;=6),'Mezclas RN'!$M$10,AND($F12&gt;6,$F12&lt;=8),'Mezclas RN'!$M$11,AND($F12&gt;8,$F12&lt;=13),'Mezclas RN'!$M$12,AND($F12&gt;13,$F12&lt;=25),'Mezclas RN'!$M$13,$F12&gt;25,'Mezclas RN'!$M$14))</f>
        <v>1</v>
      </c>
      <c r="I12" s="10" t="str">
        <f t="shared" si="3"/>
        <v>No cumple</v>
      </c>
      <c r="J12" s="10">
        <v>4.22</v>
      </c>
      <c r="K12" s="121" cm="1">
        <f t="array" ref="K12">_xlfn.IFS($A12="Quebrada La Marinilla",_xlfn.IFS(AND($F12&gt;0,$F12&lt;=1),'Mezclas MN'!$O$5,AND($F12&gt;1,$F12&lt;=2),'Mezclas MN'!$O$6,AND($F12&gt;2,$F12&lt;=3),'Mezclas MN'!$O$7,AND($F12&gt;3,$F12&lt;=4),'Mezclas MN'!$O$8,AND($F12&gt;4,$F12&lt;=5),'Mezclas MN'!$O$9,AND($F12&gt;5,$F12&lt;=6),'Mezclas MN'!$O$10,AND($F12&gt;6,$F12&lt;=7),'Mezclas MN'!$O$11,AND($F12&gt;7,$F12&lt;=9),'Mezclas MN'!$O$12,AND($F12&gt;9,$F12&lt;=12),'Mezclas MN'!$O$13,AND($F12&gt;12,$F12&lt;=17),'Mezclas MN'!$O$14,AND($F12&gt;17,$F12&lt;=29),'Mezclas MN'!$O$15,$F12&gt;29,'Mezclas MN'!$O$16),$A12="Rio Negro",_xlfn.IFS(AND($F12&gt;0,$F12&lt;=1),'Mezclas RN'!$O$5,AND($F12&gt;1,$F12&lt;=2),'Mezclas RN'!$O$6,AND($F12&gt;2,$F12&lt;=3),'Mezclas RN'!$O$7,AND($F12&gt;3,$F12&lt;=4),'Mezclas RN'!$O$8,AND($F12&gt;4,$F12&lt;=5),'Mezclas RN'!$O$9,AND($F12&gt;5,$F12&lt;=6),'Mezclas RN'!$O$10,AND($F12&gt;6,$F12&lt;=7),'Mezclas RN'!$O$11,AND($F12&gt;7,$F12&lt;=8),'Mezclas RN'!$O$12,AND($F12&gt;8,$F12&lt;=10),'Mezclas RN'!$O$13,AND($F12&gt;10,$F12&lt;=12),'Mezclas RN'!$O$14,AND($F12&gt;12,$F12&lt;=16),'Mezclas RN'!$O$15,AND($F12&gt;16,$F12&lt;=23),'Mezclas RN'!$O$16,AND($F12&gt;23,$F12&lt;=30),'Mezclas RN'!$O$17,$F12&gt;30,'Mezclas RN'!$O$18))</f>
        <v>1</v>
      </c>
      <c r="L12" s="10" t="str">
        <f t="shared" si="4"/>
        <v>No cumple</v>
      </c>
      <c r="M12" s="10">
        <v>3.32</v>
      </c>
      <c r="N12" s="121" cm="1">
        <f t="array" ref="N12">_xlfn.IFS($A12="Quebrada La Marinilla",_xlfn.IFS(AND($F12&gt;0,$F12&lt;=1),'Mezclas MN'!$Q$5,AND($F12&gt;1,$F12&lt;=2),'Mezclas MN'!$Q$6,AND($F12&gt;2,$F12&lt;=3),'Mezclas MN'!$Q$7,AND($F12&gt;3,$F12&lt;=4),'Mezclas MN'!$Q$8,AND($F12&gt;4,$F12&lt;=5),'Mezclas MN'!$Q$9,AND($F12&gt;5,$F12&lt;=6),'Mezclas MN'!$Q$10,AND($F12&gt;6,$F12&lt;=7),'Mezclas MN'!$Q$11,AND($F12&gt;7,$F12&lt;=9),'Mezclas MN'!$Q$12,AND($F12&gt;9,$F12&lt;=11),'Mezclas MN'!$Q$13,AND($F12&gt;11,$F12&lt;=15),'Mezclas MN'!$Q$14,AND($F12&gt;15,$F12&lt;=25),'Mezclas MN'!$Q$15,$F12&gt;25,'Mezclas MN'!$Q$16),$A12="Rio Negro",_xlfn.IFS(AND($F12&gt;0,$F12&lt;=1),'Mezclas RN'!$Q$5,AND($F12&gt;1,$F12&lt;=2),'Mezclas RN'!$Q$6,AND($F12&gt;2,$F12&lt;=3),'Mezclas RN'!$Q$7,AND($F12&gt;3,$F12&lt;=4),'Mezclas RN'!$Q$8,AND($F12&gt;4,$F12&lt;=5),'Mezclas RN'!$Q$9,AND($F12&gt;5,$F12&lt;=6),'Mezclas RN'!$Q$10,AND($F12&gt;6,$F12&lt;=8),'Mezclas RN'!$Q$11,AND($F12&gt;8,$F12&lt;=11),'Mezclas RN'!$Q$12,AND($F12&gt;11,$F12&lt;=19),'Mezclas RN'!$Q$13,$F12&gt;19,'Mezclas RN'!$Q$14))</f>
        <v>1</v>
      </c>
      <c r="O12" s="10" t="str">
        <f t="shared" si="5"/>
        <v>No cumple</v>
      </c>
      <c r="P12" s="120">
        <v>195.4</v>
      </c>
      <c r="Q12" s="120">
        <v>90</v>
      </c>
      <c r="R12" s="10" t="str">
        <f t="shared" si="10"/>
        <v>No cumple</v>
      </c>
      <c r="S12" s="120">
        <v>380</v>
      </c>
      <c r="T12" s="120">
        <v>180</v>
      </c>
      <c r="U12" s="10" t="str">
        <f t="shared" si="11"/>
        <v>No cumple</v>
      </c>
      <c r="V12" s="120">
        <v>70.400000000000006</v>
      </c>
      <c r="W12" s="120">
        <v>90</v>
      </c>
      <c r="X12" s="10" t="str">
        <f t="shared" si="12"/>
        <v>Cumple</v>
      </c>
      <c r="Y12" s="1" t="s">
        <v>681</v>
      </c>
      <c r="Z12" s="1" t="str">
        <f t="shared" si="6"/>
        <v>No</v>
      </c>
      <c r="AA12" s="1" t="str">
        <f t="shared" si="7"/>
        <v>No</v>
      </c>
      <c r="AB12" s="1" t="str">
        <f t="shared" si="8"/>
        <v>No</v>
      </c>
      <c r="AC12" s="1" t="str">
        <f t="shared" si="9"/>
        <v>Si</v>
      </c>
      <c r="AD12" t="s">
        <v>682</v>
      </c>
    </row>
    <row r="13" spans="1:30" x14ac:dyDescent="0.25">
      <c r="A13" t="s">
        <v>65</v>
      </c>
      <c r="B13" t="s">
        <v>739</v>
      </c>
      <c r="C13" t="s">
        <v>678</v>
      </c>
      <c r="D13" t="s">
        <v>679</v>
      </c>
      <c r="E13" s="1" t="s">
        <v>670</v>
      </c>
      <c r="F13" s="10">
        <v>42.093666666666664</v>
      </c>
      <c r="G13" s="10">
        <v>10.8</v>
      </c>
      <c r="H13" s="10" cm="1">
        <f t="array" ref="H13">_xlfn.IFS($A13="Quebrada La Marinilla",_xlfn.IFS(AND($F13&gt;0,$F13&lt;=1),'Mezclas MN'!$M$5,AND($F13&gt;1,$F13&lt;=2),'Mezclas MN'!$M$6,AND($F13&gt;2,$F13&lt;=3),'Mezclas MN'!$M$7,AND($F13&gt;3,$F13&lt;=4),'Mezclas MN'!$M$8,AND($F13&gt;4,$F13&lt;=5),'Mezclas MN'!$M$9,AND($F13&gt;5,$F13&lt;=6),'Mezclas MN'!$M$10,AND($F13&gt;6,$F13&lt;=8),'Mezclas MN'!$M$11,AND($F13&gt;8,$F13&lt;=12),'Mezclas MN'!$M$12,AND($F13&gt;12,$F13&lt;=26),'Mezclas MN'!$M$13,$F13&gt;26,'Mezclas MN'!$M$14),$A13="Rio Negro",_xlfn.IFS(AND($F13&gt;0,$F13&lt;=1),'Mezclas RN'!$M$5,AND($F13&gt;1,$F13&lt;=2),'Mezclas RN'!$M$6,AND($F13&gt;2,$F13&lt;=3),'Mezclas RN'!$M$7,AND($F13&gt;3,$F13&lt;=4),'Mezclas RN'!$M$8,AND($F13&gt;4,$F13&lt;=5),'Mezclas RN'!$M$9,AND($F13&gt;5,$F13&lt;=6),'Mezclas RN'!$M$10,AND($F13&gt;6,$F13&lt;=8),'Mezclas RN'!$M$11,AND($F13&gt;8,$F13&lt;=13),'Mezclas RN'!$M$12,AND($F13&gt;13,$F13&lt;=25),'Mezclas RN'!$M$13,$F13&gt;25,'Mezclas RN'!$M$14))</f>
        <v>1</v>
      </c>
      <c r="I13" s="10" t="str">
        <f t="shared" si="3"/>
        <v>No cumple</v>
      </c>
      <c r="J13" s="10">
        <v>7.22</v>
      </c>
      <c r="K13" s="121" cm="1">
        <f t="array" ref="K13">_xlfn.IFS($A13="Quebrada La Marinilla",_xlfn.IFS(AND($F13&gt;0,$F13&lt;=1),'Mezclas MN'!$O$5,AND($F13&gt;1,$F13&lt;=2),'Mezclas MN'!$O$6,AND($F13&gt;2,$F13&lt;=3),'Mezclas MN'!$O$7,AND($F13&gt;3,$F13&lt;=4),'Mezclas MN'!$O$8,AND($F13&gt;4,$F13&lt;=5),'Mezclas MN'!$O$9,AND($F13&gt;5,$F13&lt;=6),'Mezclas MN'!$O$10,AND($F13&gt;6,$F13&lt;=7),'Mezclas MN'!$O$11,AND($F13&gt;7,$F13&lt;=9),'Mezclas MN'!$O$12,AND($F13&gt;9,$F13&lt;=12),'Mezclas MN'!$O$13,AND($F13&gt;12,$F13&lt;=17),'Mezclas MN'!$O$14,AND($F13&gt;17,$F13&lt;=29),'Mezclas MN'!$O$15,$F13&gt;29,'Mezclas MN'!$O$16),$A13="Rio Negro",_xlfn.IFS(AND($F13&gt;0,$F13&lt;=1),'Mezclas RN'!$O$5,AND($F13&gt;1,$F13&lt;=2),'Mezclas RN'!$O$6,AND($F13&gt;2,$F13&lt;=3),'Mezclas RN'!$O$7,AND($F13&gt;3,$F13&lt;=4),'Mezclas RN'!$O$8,AND($F13&gt;4,$F13&lt;=5),'Mezclas RN'!$O$9,AND($F13&gt;5,$F13&lt;=6),'Mezclas RN'!$O$10,AND($F13&gt;6,$F13&lt;=7),'Mezclas RN'!$O$11,AND($F13&gt;7,$F13&lt;=8),'Mezclas RN'!$O$12,AND($F13&gt;8,$F13&lt;=10),'Mezclas RN'!$O$13,AND($F13&gt;10,$F13&lt;=12),'Mezclas RN'!$O$14,AND($F13&gt;12,$F13&lt;=16),'Mezclas RN'!$O$15,AND($F13&gt;16,$F13&lt;=23),'Mezclas RN'!$O$16,AND($F13&gt;23,$F13&lt;=30),'Mezclas RN'!$O$17,$F13&gt;30,'Mezclas RN'!$O$18))</f>
        <v>1</v>
      </c>
      <c r="L13" s="10" t="str">
        <f t="shared" si="4"/>
        <v>No cumple</v>
      </c>
      <c r="M13" s="10">
        <v>5.0599999999999996</v>
      </c>
      <c r="N13" s="121" cm="1">
        <f t="array" ref="N13">_xlfn.IFS($A13="Quebrada La Marinilla",_xlfn.IFS(AND($F13&gt;0,$F13&lt;=1),'Mezclas MN'!$Q$5,AND($F13&gt;1,$F13&lt;=2),'Mezclas MN'!$Q$6,AND($F13&gt;2,$F13&lt;=3),'Mezclas MN'!$Q$7,AND($F13&gt;3,$F13&lt;=4),'Mezclas MN'!$Q$8,AND($F13&gt;4,$F13&lt;=5),'Mezclas MN'!$Q$9,AND($F13&gt;5,$F13&lt;=6),'Mezclas MN'!$Q$10,AND($F13&gt;6,$F13&lt;=7),'Mezclas MN'!$Q$11,AND($F13&gt;7,$F13&lt;=9),'Mezclas MN'!$Q$12,AND($F13&gt;9,$F13&lt;=11),'Mezclas MN'!$Q$13,AND($F13&gt;11,$F13&lt;=15),'Mezclas MN'!$Q$14,AND($F13&gt;15,$F13&lt;=25),'Mezclas MN'!$Q$15,$F13&gt;25,'Mezclas MN'!$Q$16),$A13="Rio Negro",_xlfn.IFS(AND($F13&gt;0,$F13&lt;=1),'Mezclas RN'!$Q$5,AND($F13&gt;1,$F13&lt;=2),'Mezclas RN'!$Q$6,AND($F13&gt;2,$F13&lt;=3),'Mezclas RN'!$Q$7,AND($F13&gt;3,$F13&lt;=4),'Mezclas RN'!$Q$8,AND($F13&gt;4,$F13&lt;=5),'Mezclas RN'!$Q$9,AND($F13&gt;5,$F13&lt;=6),'Mezclas RN'!$Q$10,AND($F13&gt;6,$F13&lt;=8),'Mezclas RN'!$Q$11,AND($F13&gt;8,$F13&lt;=11),'Mezclas RN'!$Q$12,AND($F13&gt;11,$F13&lt;=19),'Mezclas RN'!$Q$13,$F13&gt;19,'Mezclas RN'!$Q$14))</f>
        <v>1</v>
      </c>
      <c r="O13" s="10" t="str">
        <f t="shared" si="5"/>
        <v>No cumple</v>
      </c>
      <c r="P13" s="120" t="s">
        <v>658</v>
      </c>
      <c r="Q13" s="120">
        <v>90</v>
      </c>
      <c r="R13" s="10" t="str">
        <f t="shared" si="10"/>
        <v>No cumple</v>
      </c>
      <c r="S13" s="120">
        <v>224.8</v>
      </c>
      <c r="T13" s="120">
        <v>180</v>
      </c>
      <c r="U13" s="10" t="str">
        <f t="shared" si="11"/>
        <v>No cumple</v>
      </c>
      <c r="V13" s="120">
        <v>162.5</v>
      </c>
      <c r="W13" s="120">
        <v>90</v>
      </c>
      <c r="X13" s="10" t="str">
        <f t="shared" si="12"/>
        <v>No cumple</v>
      </c>
      <c r="Y13" s="1" t="s">
        <v>683</v>
      </c>
      <c r="Z13" s="1" t="str">
        <f t="shared" si="6"/>
        <v>No</v>
      </c>
      <c r="AA13" s="1" t="str">
        <f t="shared" si="7"/>
        <v>No</v>
      </c>
      <c r="AB13" s="1" t="str">
        <f t="shared" si="8"/>
        <v>No</v>
      </c>
      <c r="AC13" s="1" t="str">
        <f t="shared" si="9"/>
        <v>No</v>
      </c>
      <c r="AD13" t="s">
        <v>663</v>
      </c>
    </row>
    <row r="14" spans="1:30" x14ac:dyDescent="0.25">
      <c r="A14" t="s">
        <v>65</v>
      </c>
      <c r="B14" t="s">
        <v>740</v>
      </c>
      <c r="C14" t="s">
        <v>678</v>
      </c>
      <c r="D14" t="s">
        <v>679</v>
      </c>
      <c r="E14" s="1" t="s">
        <v>670</v>
      </c>
      <c r="F14" s="10">
        <v>67.469166666666666</v>
      </c>
      <c r="G14" s="10">
        <v>3.86</v>
      </c>
      <c r="H14" s="10" cm="1">
        <f t="array" ref="H14">_xlfn.IFS($A14="Quebrada La Marinilla",_xlfn.IFS(AND($F14&gt;0,$F14&lt;=1),'Mezclas MN'!$M$5,AND($F14&gt;1,$F14&lt;=2),'Mezclas MN'!$M$6,AND($F14&gt;2,$F14&lt;=3),'Mezclas MN'!$M$7,AND($F14&gt;3,$F14&lt;=4),'Mezclas MN'!$M$8,AND($F14&gt;4,$F14&lt;=5),'Mezclas MN'!$M$9,AND($F14&gt;5,$F14&lt;=6),'Mezclas MN'!$M$10,AND($F14&gt;6,$F14&lt;=8),'Mezclas MN'!$M$11,AND($F14&gt;8,$F14&lt;=12),'Mezclas MN'!$M$12,AND($F14&gt;12,$F14&lt;=26),'Mezclas MN'!$M$13,$F14&gt;26,'Mezclas MN'!$M$14),$A14="Rio Negro",_xlfn.IFS(AND($F14&gt;0,$F14&lt;=1),'Mezclas RN'!$M$5,AND($F14&gt;1,$F14&lt;=2),'Mezclas RN'!$M$6,AND($F14&gt;2,$F14&lt;=3),'Mezclas RN'!$M$7,AND($F14&gt;3,$F14&lt;=4),'Mezclas RN'!$M$8,AND($F14&gt;4,$F14&lt;=5),'Mezclas RN'!$M$9,AND($F14&gt;5,$F14&lt;=6),'Mezclas RN'!$M$10,AND($F14&gt;6,$F14&lt;=8),'Mezclas RN'!$M$11,AND($F14&gt;8,$F14&lt;=13),'Mezclas RN'!$M$12,AND($F14&gt;13,$F14&lt;=25),'Mezclas RN'!$M$13,$F14&gt;25,'Mezclas RN'!$M$14))</f>
        <v>1</v>
      </c>
      <c r="I14" s="10" t="str">
        <f t="shared" si="3"/>
        <v>No cumple</v>
      </c>
      <c r="J14" s="10">
        <v>1.87</v>
      </c>
      <c r="K14" s="121" cm="1">
        <f t="array" ref="K14">_xlfn.IFS($A14="Quebrada La Marinilla",_xlfn.IFS(AND($F14&gt;0,$F14&lt;=1),'Mezclas MN'!$O$5,AND($F14&gt;1,$F14&lt;=2),'Mezclas MN'!$O$6,AND($F14&gt;2,$F14&lt;=3),'Mezclas MN'!$O$7,AND($F14&gt;3,$F14&lt;=4),'Mezclas MN'!$O$8,AND($F14&gt;4,$F14&lt;=5),'Mezclas MN'!$O$9,AND($F14&gt;5,$F14&lt;=6),'Mezclas MN'!$O$10,AND($F14&gt;6,$F14&lt;=7),'Mezclas MN'!$O$11,AND($F14&gt;7,$F14&lt;=9),'Mezclas MN'!$O$12,AND($F14&gt;9,$F14&lt;=12),'Mezclas MN'!$O$13,AND($F14&gt;12,$F14&lt;=17),'Mezclas MN'!$O$14,AND($F14&gt;17,$F14&lt;=29),'Mezclas MN'!$O$15,$F14&gt;29,'Mezclas MN'!$O$16),$A14="Rio Negro",_xlfn.IFS(AND($F14&gt;0,$F14&lt;=1),'Mezclas RN'!$O$5,AND($F14&gt;1,$F14&lt;=2),'Mezclas RN'!$O$6,AND($F14&gt;2,$F14&lt;=3),'Mezclas RN'!$O$7,AND($F14&gt;3,$F14&lt;=4),'Mezclas RN'!$O$8,AND($F14&gt;4,$F14&lt;=5),'Mezclas RN'!$O$9,AND($F14&gt;5,$F14&lt;=6),'Mezclas RN'!$O$10,AND($F14&gt;6,$F14&lt;=7),'Mezclas RN'!$O$11,AND($F14&gt;7,$F14&lt;=8),'Mezclas RN'!$O$12,AND($F14&gt;8,$F14&lt;=10),'Mezclas RN'!$O$13,AND($F14&gt;10,$F14&lt;=12),'Mezclas RN'!$O$14,AND($F14&gt;12,$F14&lt;=16),'Mezclas RN'!$O$15,AND($F14&gt;16,$F14&lt;=23),'Mezclas RN'!$O$16,AND($F14&gt;23,$F14&lt;=30),'Mezclas RN'!$O$17,$F14&gt;30,'Mezclas RN'!$O$18))</f>
        <v>1</v>
      </c>
      <c r="L14" s="10" t="str">
        <f t="shared" si="4"/>
        <v>No cumple</v>
      </c>
      <c r="M14" s="10">
        <v>1.33</v>
      </c>
      <c r="N14" s="121" cm="1">
        <f t="array" ref="N14">_xlfn.IFS($A14="Quebrada La Marinilla",_xlfn.IFS(AND($F14&gt;0,$F14&lt;=1),'Mezclas MN'!$Q$5,AND($F14&gt;1,$F14&lt;=2),'Mezclas MN'!$Q$6,AND($F14&gt;2,$F14&lt;=3),'Mezclas MN'!$Q$7,AND($F14&gt;3,$F14&lt;=4),'Mezclas MN'!$Q$8,AND($F14&gt;4,$F14&lt;=5),'Mezclas MN'!$Q$9,AND($F14&gt;5,$F14&lt;=6),'Mezclas MN'!$Q$10,AND($F14&gt;6,$F14&lt;=7),'Mezclas MN'!$Q$11,AND($F14&gt;7,$F14&lt;=9),'Mezclas MN'!$Q$12,AND($F14&gt;9,$F14&lt;=11),'Mezclas MN'!$Q$13,AND($F14&gt;11,$F14&lt;=15),'Mezclas MN'!$Q$14,AND($F14&gt;15,$F14&lt;=25),'Mezclas MN'!$Q$15,$F14&gt;25,'Mezclas MN'!$Q$16),$A14="Rio Negro",_xlfn.IFS(AND($F14&gt;0,$F14&lt;=1),'Mezclas RN'!$Q$5,AND($F14&gt;1,$F14&lt;=2),'Mezclas RN'!$Q$6,AND($F14&gt;2,$F14&lt;=3),'Mezclas RN'!$Q$7,AND($F14&gt;3,$F14&lt;=4),'Mezclas RN'!$Q$8,AND($F14&gt;4,$F14&lt;=5),'Mezclas RN'!$Q$9,AND($F14&gt;5,$F14&lt;=6),'Mezclas RN'!$Q$10,AND($F14&gt;6,$F14&lt;=8),'Mezclas RN'!$Q$11,AND($F14&gt;8,$F14&lt;=11),'Mezclas RN'!$Q$12,AND($F14&gt;11,$F14&lt;=19),'Mezclas RN'!$Q$13,$F14&gt;19,'Mezclas RN'!$Q$14))</f>
        <v>1</v>
      </c>
      <c r="O14" s="10" t="str">
        <f t="shared" si="5"/>
        <v>No cumple</v>
      </c>
      <c r="P14" s="120">
        <v>327.9</v>
      </c>
      <c r="Q14" s="120">
        <v>90</v>
      </c>
      <c r="R14" s="10" t="str">
        <f t="shared" si="10"/>
        <v>No cumple</v>
      </c>
      <c r="S14" s="120">
        <v>210.8</v>
      </c>
      <c r="T14" s="120">
        <v>180</v>
      </c>
      <c r="U14" s="10" t="str">
        <f t="shared" si="11"/>
        <v>No cumple</v>
      </c>
      <c r="V14" s="120">
        <v>683.5</v>
      </c>
      <c r="W14" s="120">
        <v>90</v>
      </c>
      <c r="X14" s="10" t="str">
        <f t="shared" si="12"/>
        <v>No cumple</v>
      </c>
      <c r="Y14" s="1" t="s">
        <v>684</v>
      </c>
      <c r="Z14" s="1" t="str">
        <f t="shared" si="6"/>
        <v>No</v>
      </c>
      <c r="AA14" s="1" t="str">
        <f t="shared" si="7"/>
        <v>No</v>
      </c>
      <c r="AB14" s="1" t="str">
        <f t="shared" si="8"/>
        <v>No</v>
      </c>
      <c r="AC14" s="1" t="str">
        <f t="shared" si="9"/>
        <v>No</v>
      </c>
      <c r="AD14" t="s">
        <v>663</v>
      </c>
    </row>
    <row r="15" spans="1:30" x14ac:dyDescent="0.25">
      <c r="A15" t="s">
        <v>65</v>
      </c>
      <c r="B15" t="s">
        <v>741</v>
      </c>
      <c r="C15" t="s">
        <v>666</v>
      </c>
      <c r="D15" t="s">
        <v>679</v>
      </c>
      <c r="E15" s="1" t="s">
        <v>670</v>
      </c>
      <c r="F15" s="10">
        <v>1.46</v>
      </c>
      <c r="G15" s="10">
        <v>79.599999999999994</v>
      </c>
      <c r="H15" s="10" cm="1">
        <f t="array" ref="H15">_xlfn.IFS($A15="Quebrada La Marinilla",_xlfn.IFS(AND($F15&gt;0,$F15&lt;=1),'Mezclas MN'!$M$5,AND($F15&gt;1,$F15&lt;=2),'Mezclas MN'!$M$6,AND($F15&gt;2,$F15&lt;=3),'Mezclas MN'!$M$7,AND($F15&gt;3,$F15&lt;=4),'Mezclas MN'!$M$8,AND($F15&gt;4,$F15&lt;=5),'Mezclas MN'!$M$9,AND($F15&gt;5,$F15&lt;=6),'Mezclas MN'!$M$10,AND($F15&gt;6,$F15&lt;=8),'Mezclas MN'!$M$11,AND($F15&gt;8,$F15&lt;=12),'Mezclas MN'!$M$12,AND($F15&gt;12,$F15&lt;=26),'Mezclas MN'!$M$13,$F15&gt;26,'Mezclas MN'!$M$14),$A15="Rio Negro",_xlfn.IFS(AND($F15&gt;0,$F15&lt;=1),'Mezclas RN'!$M$5,AND($F15&gt;1,$F15&lt;=2),'Mezclas RN'!$M$6,AND($F15&gt;2,$F15&lt;=3),'Mezclas RN'!$M$7,AND($F15&gt;3,$F15&lt;=4),'Mezclas RN'!$M$8,AND($F15&gt;4,$F15&lt;=5),'Mezclas RN'!$M$9,AND($F15&gt;5,$F15&lt;=6),'Mezclas RN'!$M$10,AND($F15&gt;6,$F15&lt;=8),'Mezclas RN'!$M$11,AND($F15&gt;8,$F15&lt;=13),'Mezclas RN'!$M$12,AND($F15&gt;13,$F15&lt;=25),'Mezclas RN'!$M$13,$F15&gt;25,'Mezclas RN'!$M$14))</f>
        <v>13</v>
      </c>
      <c r="I15" s="10" t="str">
        <f t="shared" si="3"/>
        <v>No cumple</v>
      </c>
      <c r="J15" s="10">
        <v>36.200000000000003</v>
      </c>
      <c r="K15" s="121" cm="1">
        <f t="array" ref="K15">_xlfn.IFS($A15="Quebrada La Marinilla",_xlfn.IFS(AND($F15&gt;0,$F15&lt;=1),'Mezclas MN'!$O$5,AND($F15&gt;1,$F15&lt;=2),'Mezclas MN'!$O$6,AND($F15&gt;2,$F15&lt;=3),'Mezclas MN'!$O$7,AND($F15&gt;3,$F15&lt;=4),'Mezclas MN'!$O$8,AND($F15&gt;4,$F15&lt;=5),'Mezclas MN'!$O$9,AND($F15&gt;5,$F15&lt;=6),'Mezclas MN'!$O$10,AND($F15&gt;6,$F15&lt;=7),'Mezclas MN'!$O$11,AND($F15&gt;7,$F15&lt;=9),'Mezclas MN'!$O$12,AND($F15&gt;9,$F15&lt;=12),'Mezclas MN'!$O$13,AND($F15&gt;12,$F15&lt;=17),'Mezclas MN'!$O$14,AND($F15&gt;17,$F15&lt;=29),'Mezclas MN'!$O$15,$F15&gt;29,'Mezclas MN'!$O$16),$A15="Rio Negro",_xlfn.IFS(AND($F15&gt;0,$F15&lt;=1),'Mezclas RN'!$O$5,AND($F15&gt;1,$F15&lt;=2),'Mezclas RN'!$O$6,AND($F15&gt;2,$F15&lt;=3),'Mezclas RN'!$O$7,AND($F15&gt;3,$F15&lt;=4),'Mezclas RN'!$O$8,AND($F15&gt;4,$F15&lt;=5),'Mezclas RN'!$O$9,AND($F15&gt;5,$F15&lt;=6),'Mezclas RN'!$O$10,AND($F15&gt;6,$F15&lt;=7),'Mezclas RN'!$O$11,AND($F15&gt;7,$F15&lt;=8),'Mezclas RN'!$O$12,AND($F15&gt;8,$F15&lt;=10),'Mezclas RN'!$O$13,AND($F15&gt;10,$F15&lt;=12),'Mezclas RN'!$O$14,AND($F15&gt;12,$F15&lt;=16),'Mezclas RN'!$O$15,AND($F15&gt;16,$F15&lt;=23),'Mezclas RN'!$O$16,AND($F15&gt;23,$F15&lt;=30),'Mezclas RN'!$O$17,$F15&gt;30,'Mezclas RN'!$O$18))</f>
        <v>22</v>
      </c>
      <c r="L15" s="10" t="str">
        <f t="shared" si="4"/>
        <v>No cumple</v>
      </c>
      <c r="M15" s="10">
        <v>24.1</v>
      </c>
      <c r="N15" s="121" cm="1">
        <f t="array" ref="N15">_xlfn.IFS($A15="Quebrada La Marinilla",_xlfn.IFS(AND($F15&gt;0,$F15&lt;=1),'Mezclas MN'!$Q$5,AND($F15&gt;1,$F15&lt;=2),'Mezclas MN'!$Q$6,AND($F15&gt;2,$F15&lt;=3),'Mezclas MN'!$Q$7,AND($F15&gt;3,$F15&lt;=4),'Mezclas MN'!$Q$8,AND($F15&gt;4,$F15&lt;=5),'Mezclas MN'!$Q$9,AND($F15&gt;5,$F15&lt;=6),'Mezclas MN'!$Q$10,AND($F15&gt;6,$F15&lt;=7),'Mezclas MN'!$Q$11,AND($F15&gt;7,$F15&lt;=9),'Mezclas MN'!$Q$12,AND($F15&gt;9,$F15&lt;=11),'Mezclas MN'!$Q$13,AND($F15&gt;11,$F15&lt;=15),'Mezclas MN'!$Q$14,AND($F15&gt;15,$F15&lt;=25),'Mezclas MN'!$Q$15,$F15&gt;25,'Mezclas MN'!$Q$16),$A15="Rio Negro",_xlfn.IFS(AND($F15&gt;0,$F15&lt;=1),'Mezclas RN'!$Q$5,AND($F15&gt;1,$F15&lt;=2),'Mezclas RN'!$Q$6,AND($F15&gt;2,$F15&lt;=3),'Mezclas RN'!$Q$7,AND($F15&gt;3,$F15&lt;=4),'Mezclas RN'!$Q$8,AND($F15&gt;4,$F15&lt;=5),'Mezclas RN'!$Q$9,AND($F15&gt;5,$F15&lt;=6),'Mezclas RN'!$Q$10,AND($F15&gt;6,$F15&lt;=8),'Mezclas RN'!$Q$11,AND($F15&gt;8,$F15&lt;=11),'Mezclas RN'!$Q$12,AND($F15&gt;11,$F15&lt;=19),'Mezclas RN'!$Q$13,$F15&gt;19,'Mezclas RN'!$Q$14))</f>
        <v>21</v>
      </c>
      <c r="O15" s="10" t="str">
        <f t="shared" si="5"/>
        <v>No cumple</v>
      </c>
      <c r="P15" s="120">
        <v>1682</v>
      </c>
      <c r="Q15" s="120">
        <v>90</v>
      </c>
      <c r="R15" s="10" t="str">
        <f t="shared" si="10"/>
        <v>No cumple</v>
      </c>
      <c r="S15" s="120">
        <v>3148</v>
      </c>
      <c r="T15" s="120">
        <v>180</v>
      </c>
      <c r="U15" s="10" t="str">
        <f t="shared" si="11"/>
        <v>No cumple</v>
      </c>
      <c r="V15" s="120">
        <v>321.10000000000002</v>
      </c>
      <c r="W15" s="120">
        <v>90</v>
      </c>
      <c r="X15" s="10" t="str">
        <f t="shared" si="12"/>
        <v>No cumple</v>
      </c>
      <c r="Y15" s="1" t="s">
        <v>685</v>
      </c>
      <c r="Z15" s="1" t="str">
        <f t="shared" si="6"/>
        <v>No</v>
      </c>
      <c r="AA15" s="1" t="str">
        <f t="shared" si="7"/>
        <v>No</v>
      </c>
      <c r="AB15" s="1" t="str">
        <f t="shared" si="8"/>
        <v>No</v>
      </c>
      <c r="AC15" s="1" t="str">
        <f t="shared" si="9"/>
        <v>No</v>
      </c>
      <c r="AD15" t="s">
        <v>663</v>
      </c>
    </row>
    <row r="16" spans="1:30" x14ac:dyDescent="0.25">
      <c r="A16" t="s">
        <v>65</v>
      </c>
      <c r="B16" t="s">
        <v>742</v>
      </c>
      <c r="C16" t="s">
        <v>666</v>
      </c>
      <c r="D16" t="s">
        <v>667</v>
      </c>
      <c r="E16" s="1" t="s">
        <v>670</v>
      </c>
      <c r="F16" s="10">
        <v>4.2999999999999997E-2</v>
      </c>
      <c r="G16" s="10">
        <v>3.36</v>
      </c>
      <c r="H16" s="10" cm="1">
        <f t="array" ref="H16">_xlfn.IFS($A16="Quebrada La Marinilla",_xlfn.IFS(AND($F16&gt;0,$F16&lt;=1),'Mezclas MN'!$M$5,AND($F16&gt;1,$F16&lt;=2),'Mezclas MN'!$M$6,AND($F16&gt;2,$F16&lt;=3),'Mezclas MN'!$M$7,AND($F16&gt;3,$F16&lt;=4),'Mezclas MN'!$M$8,AND($F16&gt;4,$F16&lt;=5),'Mezclas MN'!$M$9,AND($F16&gt;5,$F16&lt;=6),'Mezclas MN'!$M$10,AND($F16&gt;6,$F16&lt;=8),'Mezclas MN'!$M$11,AND($F16&gt;8,$F16&lt;=12),'Mezclas MN'!$M$12,AND($F16&gt;12,$F16&lt;=26),'Mezclas MN'!$M$13,$F16&gt;26,'Mezclas MN'!$M$14),$A16="Rio Negro",_xlfn.IFS(AND($F16&gt;0,$F16&lt;=1),'Mezclas RN'!$M$5,AND($F16&gt;1,$F16&lt;=2),'Mezclas RN'!$M$6,AND($F16&gt;2,$F16&lt;=3),'Mezclas RN'!$M$7,AND($F16&gt;3,$F16&lt;=4),'Mezclas RN'!$M$8,AND($F16&gt;4,$F16&lt;=5),'Mezclas RN'!$M$9,AND($F16&gt;5,$F16&lt;=6),'Mezclas RN'!$M$10,AND($F16&gt;6,$F16&lt;=8),'Mezclas RN'!$M$11,AND($F16&gt;8,$F16&lt;=13),'Mezclas RN'!$M$12,AND($F16&gt;13,$F16&lt;=25),'Mezclas RN'!$M$13,$F16&gt;25,'Mezclas RN'!$M$14))</f>
        <v>26</v>
      </c>
      <c r="I16" s="10" t="str">
        <f t="shared" si="3"/>
        <v>Cumple</v>
      </c>
      <c r="J16" s="10">
        <v>1.6</v>
      </c>
      <c r="K16" s="121" cm="1">
        <f t="array" ref="K16">_xlfn.IFS($A16="Quebrada La Marinilla",_xlfn.IFS(AND($F16&gt;0,$F16&lt;=1),'Mezclas MN'!$O$5,AND($F16&gt;1,$F16&lt;=2),'Mezclas MN'!$O$6,AND($F16&gt;2,$F16&lt;=3),'Mezclas MN'!$O$7,AND($F16&gt;3,$F16&lt;=4),'Mezclas MN'!$O$8,AND($F16&gt;4,$F16&lt;=5),'Mezclas MN'!$O$9,AND($F16&gt;5,$F16&lt;=6),'Mezclas MN'!$O$10,AND($F16&gt;6,$F16&lt;=7),'Mezclas MN'!$O$11,AND($F16&gt;7,$F16&lt;=9),'Mezclas MN'!$O$12,AND($F16&gt;9,$F16&lt;=12),'Mezclas MN'!$O$13,AND($F16&gt;12,$F16&lt;=17),'Mezclas MN'!$O$14,AND($F16&gt;17,$F16&lt;=29),'Mezclas MN'!$O$15,$F16&gt;29,'Mezclas MN'!$O$16),$A16="Rio Negro",_xlfn.IFS(AND($F16&gt;0,$F16&lt;=1),'Mezclas RN'!$O$5,AND($F16&gt;1,$F16&lt;=2),'Mezclas RN'!$O$6,AND($F16&gt;2,$F16&lt;=3),'Mezclas RN'!$O$7,AND($F16&gt;3,$F16&lt;=4),'Mezclas RN'!$O$8,AND($F16&gt;4,$F16&lt;=5),'Mezclas RN'!$O$9,AND($F16&gt;5,$F16&lt;=6),'Mezclas RN'!$O$10,AND($F16&gt;6,$F16&lt;=7),'Mezclas RN'!$O$11,AND($F16&gt;7,$F16&lt;=8),'Mezclas RN'!$O$12,AND($F16&gt;8,$F16&lt;=10),'Mezclas RN'!$O$13,AND($F16&gt;10,$F16&lt;=12),'Mezclas RN'!$O$14,AND($F16&gt;12,$F16&lt;=16),'Mezclas RN'!$O$15,AND($F16&gt;16,$F16&lt;=23),'Mezclas RN'!$O$16,AND($F16&gt;23,$F16&lt;=30),'Mezclas RN'!$O$17,$F16&gt;30,'Mezclas RN'!$O$18))</f>
        <v>43</v>
      </c>
      <c r="L16" s="10" t="str">
        <f t="shared" si="4"/>
        <v>Cumple</v>
      </c>
      <c r="M16" s="10">
        <v>1.04</v>
      </c>
      <c r="N16" s="121" cm="1">
        <f t="array" ref="N16">_xlfn.IFS($A16="Quebrada La Marinilla",_xlfn.IFS(AND($F16&gt;0,$F16&lt;=1),'Mezclas MN'!$Q$5,AND($F16&gt;1,$F16&lt;=2),'Mezclas MN'!$Q$6,AND($F16&gt;2,$F16&lt;=3),'Mezclas MN'!$Q$7,AND($F16&gt;3,$F16&lt;=4),'Mezclas MN'!$Q$8,AND($F16&gt;4,$F16&lt;=5),'Mezclas MN'!$Q$9,AND($F16&gt;5,$F16&lt;=6),'Mezclas MN'!$Q$10,AND($F16&gt;6,$F16&lt;=7),'Mezclas MN'!$Q$11,AND($F16&gt;7,$F16&lt;=9),'Mezclas MN'!$Q$12,AND($F16&gt;9,$F16&lt;=11),'Mezclas MN'!$Q$13,AND($F16&gt;11,$F16&lt;=15),'Mezclas MN'!$Q$14,AND($F16&gt;15,$F16&lt;=25),'Mezclas MN'!$Q$15,$F16&gt;25,'Mezclas MN'!$Q$16),$A16="Rio Negro",_xlfn.IFS(AND($F16&gt;0,$F16&lt;=1),'Mezclas RN'!$Q$5,AND($F16&gt;1,$F16&lt;=2),'Mezclas RN'!$Q$6,AND($F16&gt;2,$F16&lt;=3),'Mezclas RN'!$Q$7,AND($F16&gt;3,$F16&lt;=4),'Mezclas RN'!$Q$8,AND($F16&gt;4,$F16&lt;=5),'Mezclas RN'!$Q$9,AND($F16&gt;5,$F16&lt;=6),'Mezclas RN'!$Q$10,AND($F16&gt;6,$F16&lt;=8),'Mezclas RN'!$Q$11,AND($F16&gt;8,$F16&lt;=11),'Mezclas RN'!$Q$12,AND($F16&gt;11,$F16&lt;=19),'Mezclas RN'!$Q$13,$F16&gt;19,'Mezclas RN'!$Q$14))</f>
        <v>42</v>
      </c>
      <c r="O16" s="10" t="str">
        <f t="shared" si="5"/>
        <v>Cumple</v>
      </c>
      <c r="P16" s="120">
        <v>219.2</v>
      </c>
      <c r="Q16" s="120">
        <v>50</v>
      </c>
      <c r="R16" s="10" t="str">
        <f t="shared" si="10"/>
        <v>No cumple</v>
      </c>
      <c r="S16" s="120">
        <v>441</v>
      </c>
      <c r="T16" s="120">
        <v>150</v>
      </c>
      <c r="U16" s="10" t="str">
        <f t="shared" si="11"/>
        <v>No cumple</v>
      </c>
      <c r="V16" s="120">
        <v>65.900000000000006</v>
      </c>
      <c r="W16" s="120">
        <v>50</v>
      </c>
      <c r="X16" s="10" t="str">
        <f t="shared" si="12"/>
        <v>No cumple</v>
      </c>
      <c r="Y16" s="1" t="s">
        <v>686</v>
      </c>
      <c r="Z16" s="1" t="str">
        <f t="shared" si="6"/>
        <v>Si</v>
      </c>
      <c r="AA16" s="1" t="str">
        <f t="shared" si="7"/>
        <v>No</v>
      </c>
      <c r="AB16" s="1" t="str">
        <f t="shared" si="8"/>
        <v>No</v>
      </c>
      <c r="AC16" s="1" t="str">
        <f t="shared" si="9"/>
        <v>No</v>
      </c>
      <c r="AD16" t="s">
        <v>672</v>
      </c>
    </row>
    <row r="17" spans="1:30" x14ac:dyDescent="0.25">
      <c r="A17" t="s">
        <v>65</v>
      </c>
      <c r="B17" t="s">
        <v>743</v>
      </c>
      <c r="C17" t="s">
        <v>655</v>
      </c>
      <c r="D17" t="s">
        <v>679</v>
      </c>
      <c r="E17" s="1" t="s">
        <v>670</v>
      </c>
      <c r="F17" s="10">
        <v>0.14000000000000001</v>
      </c>
      <c r="G17" s="10">
        <v>4.5999999999999996</v>
      </c>
      <c r="H17" s="10" cm="1">
        <f t="array" ref="H17">_xlfn.IFS($A17="Quebrada La Marinilla",_xlfn.IFS(AND($F17&gt;0,$F17&lt;=1),'Mezclas MN'!$M$5,AND($F17&gt;1,$F17&lt;=2),'Mezclas MN'!$M$6,AND($F17&gt;2,$F17&lt;=3),'Mezclas MN'!$M$7,AND($F17&gt;3,$F17&lt;=4),'Mezclas MN'!$M$8,AND($F17&gt;4,$F17&lt;=5),'Mezclas MN'!$M$9,AND($F17&gt;5,$F17&lt;=6),'Mezclas MN'!$M$10,AND($F17&gt;6,$F17&lt;=8),'Mezclas MN'!$M$11,AND($F17&gt;8,$F17&lt;=12),'Mezclas MN'!$M$12,AND($F17&gt;12,$F17&lt;=26),'Mezclas MN'!$M$13,$F17&gt;26,'Mezclas MN'!$M$14),$A17="Rio Negro",_xlfn.IFS(AND($F17&gt;0,$F17&lt;=1),'Mezclas RN'!$M$5,AND($F17&gt;1,$F17&lt;=2),'Mezclas RN'!$M$6,AND($F17&gt;2,$F17&lt;=3),'Mezclas RN'!$M$7,AND($F17&gt;3,$F17&lt;=4),'Mezclas RN'!$M$8,AND($F17&gt;4,$F17&lt;=5),'Mezclas RN'!$M$9,AND($F17&gt;5,$F17&lt;=6),'Mezclas RN'!$M$10,AND($F17&gt;6,$F17&lt;=8),'Mezclas RN'!$M$11,AND($F17&gt;8,$F17&lt;=13),'Mezclas RN'!$M$12,AND($F17&gt;13,$F17&lt;=25),'Mezclas RN'!$M$13,$F17&gt;25,'Mezclas RN'!$M$14))</f>
        <v>26</v>
      </c>
      <c r="I17" s="10" t="str">
        <f t="shared" si="3"/>
        <v>Cumple</v>
      </c>
      <c r="J17" s="10">
        <v>4.16</v>
      </c>
      <c r="K17" s="121" cm="1">
        <f t="array" ref="K17">_xlfn.IFS($A17="Quebrada La Marinilla",_xlfn.IFS(AND($F17&gt;0,$F17&lt;=1),'Mezclas MN'!$O$5,AND($F17&gt;1,$F17&lt;=2),'Mezclas MN'!$O$6,AND($F17&gt;2,$F17&lt;=3),'Mezclas MN'!$O$7,AND($F17&gt;3,$F17&lt;=4),'Mezclas MN'!$O$8,AND($F17&gt;4,$F17&lt;=5),'Mezclas MN'!$O$9,AND($F17&gt;5,$F17&lt;=6),'Mezclas MN'!$O$10,AND($F17&gt;6,$F17&lt;=7),'Mezclas MN'!$O$11,AND($F17&gt;7,$F17&lt;=9),'Mezclas MN'!$O$12,AND($F17&gt;9,$F17&lt;=12),'Mezclas MN'!$O$13,AND($F17&gt;12,$F17&lt;=17),'Mezclas MN'!$O$14,AND($F17&gt;17,$F17&lt;=29),'Mezclas MN'!$O$15,$F17&gt;29,'Mezclas MN'!$O$16),$A17="Rio Negro",_xlfn.IFS(AND($F17&gt;0,$F17&lt;=1),'Mezclas RN'!$O$5,AND($F17&gt;1,$F17&lt;=2),'Mezclas RN'!$O$6,AND($F17&gt;2,$F17&lt;=3),'Mezclas RN'!$O$7,AND($F17&gt;3,$F17&lt;=4),'Mezclas RN'!$O$8,AND($F17&gt;4,$F17&lt;=5),'Mezclas RN'!$O$9,AND($F17&gt;5,$F17&lt;=6),'Mezclas RN'!$O$10,AND($F17&gt;6,$F17&lt;=7),'Mezclas RN'!$O$11,AND($F17&gt;7,$F17&lt;=8),'Mezclas RN'!$O$12,AND($F17&gt;8,$F17&lt;=10),'Mezclas RN'!$O$13,AND($F17&gt;10,$F17&lt;=12),'Mezclas RN'!$O$14,AND($F17&gt;12,$F17&lt;=16),'Mezclas RN'!$O$15,AND($F17&gt;16,$F17&lt;=23),'Mezclas RN'!$O$16,AND($F17&gt;23,$F17&lt;=30),'Mezclas RN'!$O$17,$F17&gt;30,'Mezclas RN'!$O$18))</f>
        <v>43</v>
      </c>
      <c r="L17" s="10" t="str">
        <f t="shared" si="4"/>
        <v>Cumple</v>
      </c>
      <c r="M17" s="10">
        <v>3.68</v>
      </c>
      <c r="N17" s="121" cm="1">
        <f t="array" ref="N17">_xlfn.IFS($A17="Quebrada La Marinilla",_xlfn.IFS(AND($F17&gt;0,$F17&lt;=1),'Mezclas MN'!$Q$5,AND($F17&gt;1,$F17&lt;=2),'Mezclas MN'!$Q$6,AND($F17&gt;2,$F17&lt;=3),'Mezclas MN'!$Q$7,AND($F17&gt;3,$F17&lt;=4),'Mezclas MN'!$Q$8,AND($F17&gt;4,$F17&lt;=5),'Mezclas MN'!$Q$9,AND($F17&gt;5,$F17&lt;=6),'Mezclas MN'!$Q$10,AND($F17&gt;6,$F17&lt;=7),'Mezclas MN'!$Q$11,AND($F17&gt;7,$F17&lt;=9),'Mezclas MN'!$Q$12,AND($F17&gt;9,$F17&lt;=11),'Mezclas MN'!$Q$13,AND($F17&gt;11,$F17&lt;=15),'Mezclas MN'!$Q$14,AND($F17&gt;15,$F17&lt;=25),'Mezclas MN'!$Q$15,$F17&gt;25,'Mezclas MN'!$Q$16),$A17="Rio Negro",_xlfn.IFS(AND($F17&gt;0,$F17&lt;=1),'Mezclas RN'!$Q$5,AND($F17&gt;1,$F17&lt;=2),'Mezclas RN'!$Q$6,AND($F17&gt;2,$F17&lt;=3),'Mezclas RN'!$Q$7,AND($F17&gt;3,$F17&lt;=4),'Mezclas RN'!$Q$8,AND($F17&gt;4,$F17&lt;=5),'Mezclas RN'!$Q$9,AND($F17&gt;5,$F17&lt;=6),'Mezclas RN'!$Q$10,AND($F17&gt;6,$F17&lt;=8),'Mezclas RN'!$Q$11,AND($F17&gt;8,$F17&lt;=11),'Mezclas RN'!$Q$12,AND($F17&gt;11,$F17&lt;=19),'Mezclas RN'!$Q$13,$F17&gt;19,'Mezclas RN'!$Q$14))</f>
        <v>42</v>
      </c>
      <c r="O17" s="10" t="str">
        <f t="shared" si="5"/>
        <v>Cumple</v>
      </c>
      <c r="P17" s="120">
        <v>388.3</v>
      </c>
      <c r="Q17" s="120">
        <v>400</v>
      </c>
      <c r="R17" s="10" t="str">
        <f t="shared" si="10"/>
        <v>Cumple</v>
      </c>
      <c r="S17" s="120">
        <v>153.1</v>
      </c>
      <c r="T17" s="120">
        <v>800</v>
      </c>
      <c r="U17" s="10" t="str">
        <f t="shared" si="11"/>
        <v>Cumple</v>
      </c>
      <c r="V17" s="120">
        <v>56.7</v>
      </c>
      <c r="W17" s="120">
        <v>200</v>
      </c>
      <c r="X17" s="10" t="str">
        <f t="shared" si="12"/>
        <v>Cumple</v>
      </c>
      <c r="Y17" s="1" t="s">
        <v>687</v>
      </c>
      <c r="Z17" s="1" t="str">
        <f t="shared" si="6"/>
        <v>Si</v>
      </c>
      <c r="AA17" s="1" t="str">
        <f t="shared" si="7"/>
        <v>Si</v>
      </c>
      <c r="AB17" s="1" t="str">
        <f t="shared" si="8"/>
        <v>Si</v>
      </c>
      <c r="AC17" s="1" t="str">
        <f t="shared" si="9"/>
        <v>Si</v>
      </c>
      <c r="AD17" t="s">
        <v>659</v>
      </c>
    </row>
    <row r="18" spans="1:30" x14ac:dyDescent="0.25">
      <c r="A18" t="s">
        <v>65</v>
      </c>
      <c r="B18" t="s">
        <v>744</v>
      </c>
      <c r="C18" t="s">
        <v>655</v>
      </c>
      <c r="D18" t="s">
        <v>679</v>
      </c>
      <c r="E18" s="1" t="s">
        <v>670</v>
      </c>
      <c r="F18" s="10">
        <v>2</v>
      </c>
      <c r="G18" s="10">
        <v>62.8</v>
      </c>
      <c r="H18" s="10" cm="1">
        <f t="array" ref="H18">_xlfn.IFS($A18="Quebrada La Marinilla",_xlfn.IFS(AND($F18&gt;0,$F18&lt;=1),'Mezclas MN'!$M$5,AND($F18&gt;1,$F18&lt;=2),'Mezclas MN'!$M$6,AND($F18&gt;2,$F18&lt;=3),'Mezclas MN'!$M$7,AND($F18&gt;3,$F18&lt;=4),'Mezclas MN'!$M$8,AND($F18&gt;4,$F18&lt;=5),'Mezclas MN'!$M$9,AND($F18&gt;5,$F18&lt;=6),'Mezclas MN'!$M$10,AND($F18&gt;6,$F18&lt;=8),'Mezclas MN'!$M$11,AND($F18&gt;8,$F18&lt;=12),'Mezclas MN'!$M$12,AND($F18&gt;12,$F18&lt;=26),'Mezclas MN'!$M$13,$F18&gt;26,'Mezclas MN'!$M$14),$A18="Rio Negro",_xlfn.IFS(AND($F18&gt;0,$F18&lt;=1),'Mezclas RN'!$M$5,AND($F18&gt;1,$F18&lt;=2),'Mezclas RN'!$M$6,AND($F18&gt;2,$F18&lt;=3),'Mezclas RN'!$M$7,AND($F18&gt;3,$F18&lt;=4),'Mezclas RN'!$M$8,AND($F18&gt;4,$F18&lt;=5),'Mezclas RN'!$M$9,AND($F18&gt;5,$F18&lt;=6),'Mezclas RN'!$M$10,AND($F18&gt;6,$F18&lt;=8),'Mezclas RN'!$M$11,AND($F18&gt;8,$F18&lt;=13),'Mezclas RN'!$M$12,AND($F18&gt;13,$F18&lt;=25),'Mezclas RN'!$M$13,$F18&gt;25,'Mezclas RN'!$M$14))</f>
        <v>13</v>
      </c>
      <c r="I18" s="10" t="str">
        <f t="shared" si="3"/>
        <v>No cumple</v>
      </c>
      <c r="J18" s="10">
        <v>27.6</v>
      </c>
      <c r="K18" s="121" cm="1">
        <f t="array" ref="K18">_xlfn.IFS($A18="Quebrada La Marinilla",_xlfn.IFS(AND($F18&gt;0,$F18&lt;=1),'Mezclas MN'!$O$5,AND($F18&gt;1,$F18&lt;=2),'Mezclas MN'!$O$6,AND($F18&gt;2,$F18&lt;=3),'Mezclas MN'!$O$7,AND($F18&gt;3,$F18&lt;=4),'Mezclas MN'!$O$8,AND($F18&gt;4,$F18&lt;=5),'Mezclas MN'!$O$9,AND($F18&gt;5,$F18&lt;=6),'Mezclas MN'!$O$10,AND($F18&gt;6,$F18&lt;=7),'Mezclas MN'!$O$11,AND($F18&gt;7,$F18&lt;=9),'Mezclas MN'!$O$12,AND($F18&gt;9,$F18&lt;=12),'Mezclas MN'!$O$13,AND($F18&gt;12,$F18&lt;=17),'Mezclas MN'!$O$14,AND($F18&gt;17,$F18&lt;=29),'Mezclas MN'!$O$15,$F18&gt;29,'Mezclas MN'!$O$16),$A18="Rio Negro",_xlfn.IFS(AND($F18&gt;0,$F18&lt;=1),'Mezclas RN'!$O$5,AND($F18&gt;1,$F18&lt;=2),'Mezclas RN'!$O$6,AND($F18&gt;2,$F18&lt;=3),'Mezclas RN'!$O$7,AND($F18&gt;3,$F18&lt;=4),'Mezclas RN'!$O$8,AND($F18&gt;4,$F18&lt;=5),'Mezclas RN'!$O$9,AND($F18&gt;5,$F18&lt;=6),'Mezclas RN'!$O$10,AND($F18&gt;6,$F18&lt;=7),'Mezclas RN'!$O$11,AND($F18&gt;7,$F18&lt;=8),'Mezclas RN'!$O$12,AND($F18&gt;8,$F18&lt;=10),'Mezclas RN'!$O$13,AND($F18&gt;10,$F18&lt;=12),'Mezclas RN'!$O$14,AND($F18&gt;12,$F18&lt;=16),'Mezclas RN'!$O$15,AND($F18&gt;16,$F18&lt;=23),'Mezclas RN'!$O$16,AND($F18&gt;23,$F18&lt;=30),'Mezclas RN'!$O$17,$F18&gt;30,'Mezclas RN'!$O$18))</f>
        <v>22</v>
      </c>
      <c r="L18" s="10" t="str">
        <f t="shared" si="4"/>
        <v>No cumple</v>
      </c>
      <c r="M18" s="10">
        <v>15.6</v>
      </c>
      <c r="N18" s="121" cm="1">
        <f t="array" ref="N18">_xlfn.IFS($A18="Quebrada La Marinilla",_xlfn.IFS(AND($F18&gt;0,$F18&lt;=1),'Mezclas MN'!$Q$5,AND($F18&gt;1,$F18&lt;=2),'Mezclas MN'!$Q$6,AND($F18&gt;2,$F18&lt;=3),'Mezclas MN'!$Q$7,AND($F18&gt;3,$F18&lt;=4),'Mezclas MN'!$Q$8,AND($F18&gt;4,$F18&lt;=5),'Mezclas MN'!$Q$9,AND($F18&gt;5,$F18&lt;=6),'Mezclas MN'!$Q$10,AND($F18&gt;6,$F18&lt;=7),'Mezclas MN'!$Q$11,AND($F18&gt;7,$F18&lt;=9),'Mezclas MN'!$Q$12,AND($F18&gt;9,$F18&lt;=11),'Mezclas MN'!$Q$13,AND($F18&gt;11,$F18&lt;=15),'Mezclas MN'!$Q$14,AND($F18&gt;15,$F18&lt;=25),'Mezclas MN'!$Q$15,$F18&gt;25,'Mezclas MN'!$Q$16),$A18="Rio Negro",_xlfn.IFS(AND($F18&gt;0,$F18&lt;=1),'Mezclas RN'!$Q$5,AND($F18&gt;1,$F18&lt;=2),'Mezclas RN'!$Q$6,AND($F18&gt;2,$F18&lt;=3),'Mezclas RN'!$Q$7,AND($F18&gt;3,$F18&lt;=4),'Mezclas RN'!$Q$8,AND($F18&gt;4,$F18&lt;=5),'Mezclas RN'!$Q$9,AND($F18&gt;5,$F18&lt;=6),'Mezclas RN'!$Q$10,AND($F18&gt;6,$F18&lt;=8),'Mezclas RN'!$Q$11,AND($F18&gt;8,$F18&lt;=11),'Mezclas RN'!$Q$12,AND($F18&gt;11,$F18&lt;=19),'Mezclas RN'!$Q$13,$F18&gt;19,'Mezclas RN'!$Q$14))</f>
        <v>21</v>
      </c>
      <c r="O18" s="10" t="str">
        <f t="shared" si="5"/>
        <v>Cumple</v>
      </c>
      <c r="P18" s="120">
        <v>97.5</v>
      </c>
      <c r="Q18" s="120">
        <v>400</v>
      </c>
      <c r="R18" s="10" t="str">
        <f t="shared" si="10"/>
        <v>Cumple</v>
      </c>
      <c r="S18" s="120">
        <v>871</v>
      </c>
      <c r="T18" s="120">
        <v>800</v>
      </c>
      <c r="U18" s="10" t="str">
        <f t="shared" si="11"/>
        <v>No cumple</v>
      </c>
      <c r="V18" s="120">
        <v>25</v>
      </c>
      <c r="W18" s="120">
        <v>200</v>
      </c>
      <c r="X18" s="10" t="str">
        <f t="shared" si="12"/>
        <v>Cumple</v>
      </c>
      <c r="Y18" s="1">
        <v>7.02</v>
      </c>
      <c r="Z18" s="1" t="str">
        <f t="shared" si="6"/>
        <v>No</v>
      </c>
      <c r="AA18" s="1" t="str">
        <f t="shared" si="7"/>
        <v>Si</v>
      </c>
      <c r="AB18" s="1" t="str">
        <f t="shared" si="8"/>
        <v>No</v>
      </c>
      <c r="AC18" s="1" t="str">
        <f t="shared" si="9"/>
        <v>Si</v>
      </c>
      <c r="AD18" t="s">
        <v>677</v>
      </c>
    </row>
    <row r="19" spans="1:30" x14ac:dyDescent="0.25">
      <c r="A19" t="s">
        <v>65</v>
      </c>
      <c r="B19" t="s">
        <v>745</v>
      </c>
      <c r="C19" t="s">
        <v>655</v>
      </c>
      <c r="D19" t="s">
        <v>679</v>
      </c>
      <c r="E19" s="1" t="s">
        <v>670</v>
      </c>
      <c r="F19" s="10">
        <v>0.189</v>
      </c>
      <c r="G19" s="10">
        <v>7.98</v>
      </c>
      <c r="H19" s="10" cm="1">
        <f t="array" ref="H19">_xlfn.IFS($A19="Quebrada La Marinilla",_xlfn.IFS(AND($F19&gt;0,$F19&lt;=1),'Mezclas MN'!$M$5,AND($F19&gt;1,$F19&lt;=2),'Mezclas MN'!$M$6,AND($F19&gt;2,$F19&lt;=3),'Mezclas MN'!$M$7,AND($F19&gt;3,$F19&lt;=4),'Mezclas MN'!$M$8,AND($F19&gt;4,$F19&lt;=5),'Mezclas MN'!$M$9,AND($F19&gt;5,$F19&lt;=6),'Mezclas MN'!$M$10,AND($F19&gt;6,$F19&lt;=8),'Mezclas MN'!$M$11,AND($F19&gt;8,$F19&lt;=12),'Mezclas MN'!$M$12,AND($F19&gt;12,$F19&lt;=26),'Mezclas MN'!$M$13,$F19&gt;26,'Mezclas MN'!$M$14),$A19="Rio Negro",_xlfn.IFS(AND($F19&gt;0,$F19&lt;=1),'Mezclas RN'!$M$5,AND($F19&gt;1,$F19&lt;=2),'Mezclas RN'!$M$6,AND($F19&gt;2,$F19&lt;=3),'Mezclas RN'!$M$7,AND($F19&gt;3,$F19&lt;=4),'Mezclas RN'!$M$8,AND($F19&gt;4,$F19&lt;=5),'Mezclas RN'!$M$9,AND($F19&gt;5,$F19&lt;=6),'Mezclas RN'!$M$10,AND($F19&gt;6,$F19&lt;=8),'Mezclas RN'!$M$11,AND($F19&gt;8,$F19&lt;=13),'Mezclas RN'!$M$12,AND($F19&gt;13,$F19&lt;=25),'Mezclas RN'!$M$13,$F19&gt;25,'Mezclas RN'!$M$14))</f>
        <v>26</v>
      </c>
      <c r="I19" s="10" t="str">
        <f t="shared" si="3"/>
        <v>Cumple</v>
      </c>
      <c r="J19" s="10">
        <v>5.2</v>
      </c>
      <c r="K19" s="121" cm="1">
        <f t="array" ref="K19">_xlfn.IFS($A19="Quebrada La Marinilla",_xlfn.IFS(AND($F19&gt;0,$F19&lt;=1),'Mezclas MN'!$O$5,AND($F19&gt;1,$F19&lt;=2),'Mezclas MN'!$O$6,AND($F19&gt;2,$F19&lt;=3),'Mezclas MN'!$O$7,AND($F19&gt;3,$F19&lt;=4),'Mezclas MN'!$O$8,AND($F19&gt;4,$F19&lt;=5),'Mezclas MN'!$O$9,AND($F19&gt;5,$F19&lt;=6),'Mezclas MN'!$O$10,AND($F19&gt;6,$F19&lt;=7),'Mezclas MN'!$O$11,AND($F19&gt;7,$F19&lt;=9),'Mezclas MN'!$O$12,AND($F19&gt;9,$F19&lt;=12),'Mezclas MN'!$O$13,AND($F19&gt;12,$F19&lt;=17),'Mezclas MN'!$O$14,AND($F19&gt;17,$F19&lt;=29),'Mezclas MN'!$O$15,$F19&gt;29,'Mezclas MN'!$O$16),$A19="Rio Negro",_xlfn.IFS(AND($F19&gt;0,$F19&lt;=1),'Mezclas RN'!$O$5,AND($F19&gt;1,$F19&lt;=2),'Mezclas RN'!$O$6,AND($F19&gt;2,$F19&lt;=3),'Mezclas RN'!$O$7,AND($F19&gt;3,$F19&lt;=4),'Mezclas RN'!$O$8,AND($F19&gt;4,$F19&lt;=5),'Mezclas RN'!$O$9,AND($F19&gt;5,$F19&lt;=6),'Mezclas RN'!$O$10,AND($F19&gt;6,$F19&lt;=7),'Mezclas RN'!$O$11,AND($F19&gt;7,$F19&lt;=8),'Mezclas RN'!$O$12,AND($F19&gt;8,$F19&lt;=10),'Mezclas RN'!$O$13,AND($F19&gt;10,$F19&lt;=12),'Mezclas RN'!$O$14,AND($F19&gt;12,$F19&lt;=16),'Mezclas RN'!$O$15,AND($F19&gt;16,$F19&lt;=23),'Mezclas RN'!$O$16,AND($F19&gt;23,$F19&lt;=30),'Mezclas RN'!$O$17,$F19&gt;30,'Mezclas RN'!$O$18))</f>
        <v>43</v>
      </c>
      <c r="L19" s="10" t="str">
        <f t="shared" si="4"/>
        <v>Cumple</v>
      </c>
      <c r="M19" s="10">
        <v>3.72</v>
      </c>
      <c r="N19" s="121" cm="1">
        <f t="array" ref="N19">_xlfn.IFS($A19="Quebrada La Marinilla",_xlfn.IFS(AND($F19&gt;0,$F19&lt;=1),'Mezclas MN'!$Q$5,AND($F19&gt;1,$F19&lt;=2),'Mezclas MN'!$Q$6,AND($F19&gt;2,$F19&lt;=3),'Mezclas MN'!$Q$7,AND($F19&gt;3,$F19&lt;=4),'Mezclas MN'!$Q$8,AND($F19&gt;4,$F19&lt;=5),'Mezclas MN'!$Q$9,AND($F19&gt;5,$F19&lt;=6),'Mezclas MN'!$Q$10,AND($F19&gt;6,$F19&lt;=7),'Mezclas MN'!$Q$11,AND($F19&gt;7,$F19&lt;=9),'Mezclas MN'!$Q$12,AND($F19&gt;9,$F19&lt;=11),'Mezclas MN'!$Q$13,AND($F19&gt;11,$F19&lt;=15),'Mezclas MN'!$Q$14,AND($F19&gt;15,$F19&lt;=25),'Mezclas MN'!$Q$15,$F19&gt;25,'Mezclas MN'!$Q$16),$A19="Rio Negro",_xlfn.IFS(AND($F19&gt;0,$F19&lt;=1),'Mezclas RN'!$Q$5,AND($F19&gt;1,$F19&lt;=2),'Mezclas RN'!$Q$6,AND($F19&gt;2,$F19&lt;=3),'Mezclas RN'!$Q$7,AND($F19&gt;3,$F19&lt;=4),'Mezclas RN'!$Q$8,AND($F19&gt;4,$F19&lt;=5),'Mezclas RN'!$Q$9,AND($F19&gt;5,$F19&lt;=6),'Mezclas RN'!$Q$10,AND($F19&gt;6,$F19&lt;=8),'Mezclas RN'!$Q$11,AND($F19&gt;8,$F19&lt;=11),'Mezclas RN'!$Q$12,AND($F19&gt;11,$F19&lt;=19),'Mezclas RN'!$Q$13,$F19&gt;19,'Mezclas RN'!$Q$14))</f>
        <v>42</v>
      </c>
      <c r="O19" s="10" t="str">
        <f t="shared" si="5"/>
        <v>Cumple</v>
      </c>
      <c r="P19" s="120">
        <v>746</v>
      </c>
      <c r="Q19" s="120">
        <v>400</v>
      </c>
      <c r="R19" s="10" t="str">
        <f t="shared" si="10"/>
        <v>No cumple</v>
      </c>
      <c r="S19" s="120">
        <v>1289</v>
      </c>
      <c r="T19" s="120">
        <v>800</v>
      </c>
      <c r="U19" s="10" t="str">
        <f t="shared" si="11"/>
        <v>No cumple</v>
      </c>
      <c r="V19" s="120">
        <v>212.8</v>
      </c>
      <c r="W19" s="120">
        <v>200</v>
      </c>
      <c r="X19" s="10" t="str">
        <f t="shared" si="12"/>
        <v>No cumple</v>
      </c>
      <c r="Y19" s="1" t="s">
        <v>688</v>
      </c>
      <c r="Z19" s="1" t="str">
        <f t="shared" si="6"/>
        <v>Si</v>
      </c>
      <c r="AA19" s="1" t="str">
        <f t="shared" si="7"/>
        <v>No</v>
      </c>
      <c r="AB19" s="1" t="str">
        <f t="shared" si="8"/>
        <v>No</v>
      </c>
      <c r="AC19" s="1" t="str">
        <f t="shared" si="9"/>
        <v>No</v>
      </c>
      <c r="AD19" t="s">
        <v>672</v>
      </c>
    </row>
    <row r="20" spans="1:30" x14ac:dyDescent="0.25">
      <c r="A20" t="s">
        <v>65</v>
      </c>
      <c r="B20" t="s">
        <v>746</v>
      </c>
      <c r="C20" t="s">
        <v>655</v>
      </c>
      <c r="D20" t="s">
        <v>679</v>
      </c>
      <c r="E20" s="1" t="s">
        <v>670</v>
      </c>
      <c r="F20" s="10">
        <v>0.02</v>
      </c>
      <c r="G20" s="10">
        <v>3.25</v>
      </c>
      <c r="H20" s="10" cm="1">
        <f t="array" ref="H20">_xlfn.IFS($A20="Quebrada La Marinilla",_xlfn.IFS(AND($F20&gt;0,$F20&lt;=1),'Mezclas MN'!$M$5,AND($F20&gt;1,$F20&lt;=2),'Mezclas MN'!$M$6,AND($F20&gt;2,$F20&lt;=3),'Mezclas MN'!$M$7,AND($F20&gt;3,$F20&lt;=4),'Mezclas MN'!$M$8,AND($F20&gt;4,$F20&lt;=5),'Mezclas MN'!$M$9,AND($F20&gt;5,$F20&lt;=6),'Mezclas MN'!$M$10,AND($F20&gt;6,$F20&lt;=8),'Mezclas MN'!$M$11,AND($F20&gt;8,$F20&lt;=12),'Mezclas MN'!$M$12,AND($F20&gt;12,$F20&lt;=26),'Mezclas MN'!$M$13,$F20&gt;26,'Mezclas MN'!$M$14),$A20="Rio Negro",_xlfn.IFS(AND($F20&gt;0,$F20&lt;=1),'Mezclas RN'!$M$5,AND($F20&gt;1,$F20&lt;=2),'Mezclas RN'!$M$6,AND($F20&gt;2,$F20&lt;=3),'Mezclas RN'!$M$7,AND($F20&gt;3,$F20&lt;=4),'Mezclas RN'!$M$8,AND($F20&gt;4,$F20&lt;=5),'Mezclas RN'!$M$9,AND($F20&gt;5,$F20&lt;=6),'Mezclas RN'!$M$10,AND($F20&gt;6,$F20&lt;=8),'Mezclas RN'!$M$11,AND($F20&gt;8,$F20&lt;=13),'Mezclas RN'!$M$12,AND($F20&gt;13,$F20&lt;=25),'Mezclas RN'!$M$13,$F20&gt;25,'Mezclas RN'!$M$14))</f>
        <v>26</v>
      </c>
      <c r="I20" s="10" t="str">
        <f t="shared" si="3"/>
        <v>Cumple</v>
      </c>
      <c r="J20" s="10">
        <v>1.48</v>
      </c>
      <c r="K20" s="121" cm="1">
        <f t="array" ref="K20">_xlfn.IFS($A20="Quebrada La Marinilla",_xlfn.IFS(AND($F20&gt;0,$F20&lt;=1),'Mezclas MN'!$O$5,AND($F20&gt;1,$F20&lt;=2),'Mezclas MN'!$O$6,AND($F20&gt;2,$F20&lt;=3),'Mezclas MN'!$O$7,AND($F20&gt;3,$F20&lt;=4),'Mezclas MN'!$O$8,AND($F20&gt;4,$F20&lt;=5),'Mezclas MN'!$O$9,AND($F20&gt;5,$F20&lt;=6),'Mezclas MN'!$O$10,AND($F20&gt;6,$F20&lt;=7),'Mezclas MN'!$O$11,AND($F20&gt;7,$F20&lt;=9),'Mezclas MN'!$O$12,AND($F20&gt;9,$F20&lt;=12),'Mezclas MN'!$O$13,AND($F20&gt;12,$F20&lt;=17),'Mezclas MN'!$O$14,AND($F20&gt;17,$F20&lt;=29),'Mezclas MN'!$O$15,$F20&gt;29,'Mezclas MN'!$O$16),$A20="Rio Negro",_xlfn.IFS(AND($F20&gt;0,$F20&lt;=1),'Mezclas RN'!$O$5,AND($F20&gt;1,$F20&lt;=2),'Mezclas RN'!$O$6,AND($F20&gt;2,$F20&lt;=3),'Mezclas RN'!$O$7,AND($F20&gt;3,$F20&lt;=4),'Mezclas RN'!$O$8,AND($F20&gt;4,$F20&lt;=5),'Mezclas RN'!$O$9,AND($F20&gt;5,$F20&lt;=6),'Mezclas RN'!$O$10,AND($F20&gt;6,$F20&lt;=7),'Mezclas RN'!$O$11,AND($F20&gt;7,$F20&lt;=8),'Mezclas RN'!$O$12,AND($F20&gt;8,$F20&lt;=10),'Mezclas RN'!$O$13,AND($F20&gt;10,$F20&lt;=12),'Mezclas RN'!$O$14,AND($F20&gt;12,$F20&lt;=16),'Mezclas RN'!$O$15,AND($F20&gt;16,$F20&lt;=23),'Mezclas RN'!$O$16,AND($F20&gt;23,$F20&lt;=30),'Mezclas RN'!$O$17,$F20&gt;30,'Mezclas RN'!$O$18))</f>
        <v>43</v>
      </c>
      <c r="L20" s="10" t="str">
        <f t="shared" si="4"/>
        <v>Cumple</v>
      </c>
      <c r="M20" s="10">
        <v>0.88</v>
      </c>
      <c r="N20" s="121" cm="1">
        <f t="array" ref="N20">_xlfn.IFS($A20="Quebrada La Marinilla",_xlfn.IFS(AND($F20&gt;0,$F20&lt;=1),'Mezclas MN'!$Q$5,AND($F20&gt;1,$F20&lt;=2),'Mezclas MN'!$Q$6,AND($F20&gt;2,$F20&lt;=3),'Mezclas MN'!$Q$7,AND($F20&gt;3,$F20&lt;=4),'Mezclas MN'!$Q$8,AND($F20&gt;4,$F20&lt;=5),'Mezclas MN'!$Q$9,AND($F20&gt;5,$F20&lt;=6),'Mezclas MN'!$Q$10,AND($F20&gt;6,$F20&lt;=7),'Mezclas MN'!$Q$11,AND($F20&gt;7,$F20&lt;=9),'Mezclas MN'!$Q$12,AND($F20&gt;9,$F20&lt;=11),'Mezclas MN'!$Q$13,AND($F20&gt;11,$F20&lt;=15),'Mezclas MN'!$Q$14,AND($F20&gt;15,$F20&lt;=25),'Mezclas MN'!$Q$15,$F20&gt;25,'Mezclas MN'!$Q$16),$A20="Rio Negro",_xlfn.IFS(AND($F20&gt;0,$F20&lt;=1),'Mezclas RN'!$Q$5,AND($F20&gt;1,$F20&lt;=2),'Mezclas RN'!$Q$6,AND($F20&gt;2,$F20&lt;=3),'Mezclas RN'!$Q$7,AND($F20&gt;3,$F20&lt;=4),'Mezclas RN'!$Q$8,AND($F20&gt;4,$F20&lt;=5),'Mezclas RN'!$Q$9,AND($F20&gt;5,$F20&lt;=6),'Mezclas RN'!$Q$10,AND($F20&gt;6,$F20&lt;=8),'Mezclas RN'!$Q$11,AND($F20&gt;8,$F20&lt;=11),'Mezclas RN'!$Q$12,AND($F20&gt;11,$F20&lt;=19),'Mezclas RN'!$Q$13,$F20&gt;19,'Mezclas RN'!$Q$14))</f>
        <v>42</v>
      </c>
      <c r="O20" s="10" t="str">
        <f t="shared" si="5"/>
        <v>Cumple</v>
      </c>
      <c r="P20" s="120">
        <v>953.4</v>
      </c>
      <c r="Q20" s="120">
        <v>400</v>
      </c>
      <c r="R20" s="10" t="str">
        <f t="shared" si="10"/>
        <v>No cumple</v>
      </c>
      <c r="S20" s="120">
        <v>1804</v>
      </c>
      <c r="T20" s="120">
        <v>800</v>
      </c>
      <c r="U20" s="10" t="str">
        <f t="shared" si="11"/>
        <v>No cumple</v>
      </c>
      <c r="V20" s="120">
        <v>111.3</v>
      </c>
      <c r="W20" s="120">
        <v>200</v>
      </c>
      <c r="X20" s="10" t="str">
        <f t="shared" si="12"/>
        <v>Cumple</v>
      </c>
      <c r="Y20" s="1" t="s">
        <v>689</v>
      </c>
      <c r="Z20" s="1" t="str">
        <f t="shared" si="6"/>
        <v>Si</v>
      </c>
      <c r="AA20" s="1" t="str">
        <f t="shared" si="7"/>
        <v>No</v>
      </c>
      <c r="AB20" s="1" t="str">
        <f t="shared" si="8"/>
        <v>No</v>
      </c>
      <c r="AC20" s="1" t="str">
        <f t="shared" si="9"/>
        <v>Si</v>
      </c>
      <c r="AD20" t="s">
        <v>690</v>
      </c>
    </row>
  </sheetData>
  <autoFilter ref="A1:AD20" xr:uid="{632D4D36-A5FA-4504-9679-8550ACFB43F0}"/>
  <phoneticPr fontId="23" type="noConversion"/>
  <conditionalFormatting sqref="I2:I20 L2:L20 O2:O20 R2:R20 U2:U20 X2:X20">
    <cfRule type="cellIs" dxfId="1" priority="2" operator="equal">
      <formula>"No cumple"</formula>
    </cfRule>
  </conditionalFormatting>
  <conditionalFormatting sqref="Z2:Z20">
    <cfRule type="cellIs" dxfId="0" priority="1" operator="equal">
      <formula>"no"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3CAC-3DE4-4190-86F3-30A099C2152C}">
  <dimension ref="A1:AC150"/>
  <sheetViews>
    <sheetView topLeftCell="K1" zoomScale="70" zoomScaleNormal="70" workbookViewId="0">
      <selection activeCell="Y31" sqref="Y31"/>
    </sheetView>
  </sheetViews>
  <sheetFormatPr baseColWidth="10" defaultColWidth="11.42578125" defaultRowHeight="15.75" customHeight="1" x14ac:dyDescent="0.25"/>
  <cols>
    <col min="1" max="1" width="3" bestFit="1" customWidth="1"/>
    <col min="2" max="2" width="68.140625" bestFit="1" customWidth="1"/>
    <col min="17" max="17" width="27.28515625" customWidth="1"/>
    <col min="18" max="20" width="11" bestFit="1" customWidth="1"/>
    <col min="23" max="23" width="5.28515625" bestFit="1" customWidth="1"/>
    <col min="24" max="24" width="82.7109375" bestFit="1" customWidth="1"/>
    <col min="25" max="25" width="51.7109375" customWidth="1"/>
    <col min="26" max="29" width="20.42578125" customWidth="1"/>
  </cols>
  <sheetData>
    <row r="1" spans="1:29" ht="15.75" customHeight="1" thickTop="1" thickBot="1" x14ac:dyDescent="0.3">
      <c r="C1" s="19" t="s">
        <v>94</v>
      </c>
      <c r="D1" s="19"/>
      <c r="E1" s="19"/>
      <c r="F1" s="18" t="s">
        <v>557</v>
      </c>
      <c r="G1" s="20"/>
    </row>
    <row r="2" spans="1:29" ht="15.75" customHeight="1" thickTop="1" thickBot="1" x14ac:dyDescent="0.3">
      <c r="C2" s="11" t="s">
        <v>691</v>
      </c>
      <c r="D2" s="11" t="s">
        <v>569</v>
      </c>
      <c r="E2" s="11" t="s">
        <v>570</v>
      </c>
      <c r="F2" s="11" t="s">
        <v>571</v>
      </c>
      <c r="G2" s="12" t="s">
        <v>572</v>
      </c>
    </row>
    <row r="3" spans="1:29" ht="15.75" customHeight="1" thickTop="1" thickBot="1" x14ac:dyDescent="0.3">
      <c r="A3" s="16">
        <v>1</v>
      </c>
      <c r="B3" s="15" t="s">
        <v>61</v>
      </c>
      <c r="C3" s="13"/>
      <c r="D3" s="13">
        <v>0.34</v>
      </c>
      <c r="E3" s="13">
        <v>0.56000000000000005</v>
      </c>
      <c r="F3" s="13">
        <v>0.98</v>
      </c>
      <c r="G3" s="14">
        <v>0.2</v>
      </c>
    </row>
    <row r="4" spans="1:29" ht="15.75" customHeight="1" thickBot="1" x14ac:dyDescent="0.3">
      <c r="A4" s="16">
        <v>2</v>
      </c>
      <c r="B4" s="15" t="s">
        <v>192</v>
      </c>
      <c r="C4" s="13"/>
      <c r="D4" s="13">
        <v>0.4</v>
      </c>
      <c r="E4" s="13">
        <v>0.8</v>
      </c>
      <c r="F4" s="13">
        <v>2</v>
      </c>
      <c r="G4" s="14">
        <v>0.42</v>
      </c>
      <c r="R4" s="154"/>
      <c r="S4" s="154"/>
      <c r="T4" s="154"/>
      <c r="X4" t="s">
        <v>692</v>
      </c>
      <c r="Z4" s="155" t="s">
        <v>35</v>
      </c>
      <c r="AA4" s="155" t="s">
        <v>36</v>
      </c>
      <c r="AB4" s="155" t="s">
        <v>37</v>
      </c>
      <c r="AC4" s="155" t="s">
        <v>45</v>
      </c>
    </row>
    <row r="5" spans="1:29" ht="15.75" customHeight="1" thickBot="1" x14ac:dyDescent="0.3">
      <c r="A5" s="17">
        <v>3</v>
      </c>
      <c r="B5" s="15" t="s">
        <v>338</v>
      </c>
      <c r="C5" s="13"/>
      <c r="D5" s="13">
        <v>0.26</v>
      </c>
      <c r="E5" s="13">
        <v>0.71</v>
      </c>
      <c r="F5" s="13">
        <v>1.8</v>
      </c>
      <c r="G5" s="14">
        <v>0.38</v>
      </c>
      <c r="Q5" s="21" t="s">
        <v>558</v>
      </c>
      <c r="R5" s="23" t="s">
        <v>557</v>
      </c>
      <c r="S5" s="23" t="s">
        <v>573</v>
      </c>
      <c r="T5" s="23" t="s">
        <v>574</v>
      </c>
      <c r="W5" s="2" t="s">
        <v>21</v>
      </c>
      <c r="X5" s="2" t="s">
        <v>693</v>
      </c>
      <c r="Y5" s="3" t="s">
        <v>694</v>
      </c>
      <c r="Z5" s="156"/>
      <c r="AA5" s="156"/>
      <c r="AB5" s="156"/>
      <c r="AC5" s="156"/>
    </row>
    <row r="6" spans="1:29" ht="15.75" customHeight="1" thickBot="1" x14ac:dyDescent="0.3">
      <c r="A6" s="17">
        <v>4</v>
      </c>
      <c r="B6" s="15" t="s">
        <v>454</v>
      </c>
      <c r="C6" s="13"/>
      <c r="D6" s="13">
        <v>0.24</v>
      </c>
      <c r="E6" s="13">
        <v>1.07</v>
      </c>
      <c r="F6" s="13">
        <v>3.32</v>
      </c>
      <c r="G6" s="14">
        <v>0.81</v>
      </c>
      <c r="Q6" s="21" t="s">
        <v>562</v>
      </c>
      <c r="R6" s="24">
        <v>0.99</v>
      </c>
      <c r="S6" s="24">
        <v>0.99</v>
      </c>
      <c r="T6" s="24">
        <v>0.99</v>
      </c>
      <c r="W6" s="27">
        <v>2021</v>
      </c>
      <c r="X6" s="28" t="s">
        <v>695</v>
      </c>
      <c r="Y6" s="29" t="s">
        <v>675</v>
      </c>
      <c r="Z6" s="31">
        <v>39.1</v>
      </c>
      <c r="AA6" s="31">
        <v>32.9</v>
      </c>
      <c r="AB6" s="31">
        <v>22.7</v>
      </c>
      <c r="AC6" s="31">
        <v>12.898</v>
      </c>
    </row>
    <row r="7" spans="1:29" ht="15.75" customHeight="1" thickBot="1" x14ac:dyDescent="0.3">
      <c r="A7" s="17"/>
      <c r="B7" s="15"/>
      <c r="C7" s="13"/>
      <c r="D7" s="13"/>
      <c r="E7" s="13"/>
      <c r="F7" s="13"/>
      <c r="G7" s="14"/>
      <c r="Q7" s="21" t="s">
        <v>563</v>
      </c>
      <c r="R7" s="23">
        <v>0.01</v>
      </c>
      <c r="S7" s="23">
        <v>0.01</v>
      </c>
      <c r="T7" s="23">
        <v>0.01</v>
      </c>
      <c r="W7" s="27">
        <v>2023</v>
      </c>
      <c r="X7" s="28" t="s">
        <v>695</v>
      </c>
      <c r="Y7" s="29" t="s">
        <v>675</v>
      </c>
      <c r="Z7" s="31">
        <v>24.42</v>
      </c>
      <c r="AA7" s="31">
        <v>19.760000000000002</v>
      </c>
      <c r="AB7" s="31">
        <v>12.66</v>
      </c>
      <c r="AC7" s="31">
        <v>7.6980000000000004</v>
      </c>
    </row>
    <row r="8" spans="1:29" ht="15.75" customHeight="1" thickBot="1" x14ac:dyDescent="0.3">
      <c r="A8" s="17"/>
      <c r="B8" s="15"/>
      <c r="C8" s="13"/>
      <c r="D8" s="13"/>
      <c r="E8" s="13"/>
      <c r="F8" s="13"/>
      <c r="G8" s="14"/>
      <c r="Q8" s="21" t="s">
        <v>696</v>
      </c>
      <c r="R8" s="23">
        <v>2.58</v>
      </c>
      <c r="S8" s="23">
        <v>2.58</v>
      </c>
      <c r="T8" s="23">
        <v>2.58</v>
      </c>
      <c r="W8" s="27">
        <v>2022</v>
      </c>
      <c r="X8" s="28" t="s">
        <v>697</v>
      </c>
      <c r="Y8" s="30" t="s">
        <v>665</v>
      </c>
      <c r="Z8" s="31">
        <v>19.5</v>
      </c>
      <c r="AA8" s="31">
        <v>4.5999999999999996</v>
      </c>
      <c r="AB8" s="31">
        <v>4.8</v>
      </c>
      <c r="AC8" s="31">
        <v>0.5</v>
      </c>
    </row>
    <row r="9" spans="1:29" ht="15.75" customHeight="1" thickBot="1" x14ac:dyDescent="0.3">
      <c r="A9" s="17"/>
      <c r="B9" s="15"/>
      <c r="C9" s="13"/>
      <c r="D9" s="13"/>
      <c r="E9" s="13"/>
      <c r="F9" s="13"/>
      <c r="G9" s="14"/>
      <c r="Q9" s="21" t="s">
        <v>565</v>
      </c>
      <c r="R9" s="23" t="s">
        <v>698</v>
      </c>
      <c r="S9" s="23" t="s">
        <v>699</v>
      </c>
      <c r="T9" s="23" t="s">
        <v>700</v>
      </c>
      <c r="W9" s="27">
        <v>2022</v>
      </c>
      <c r="X9" s="28" t="s">
        <v>695</v>
      </c>
      <c r="Y9" s="29" t="s">
        <v>675</v>
      </c>
      <c r="Z9" s="31">
        <v>7.8</v>
      </c>
      <c r="AA9" s="31">
        <v>5.9</v>
      </c>
      <c r="AB9" s="31">
        <v>4.5</v>
      </c>
      <c r="AC9" s="31">
        <v>12.205</v>
      </c>
    </row>
    <row r="10" spans="1:29" ht="15.75" customHeight="1" thickBot="1" x14ac:dyDescent="0.3">
      <c r="A10" s="17"/>
      <c r="B10" s="15"/>
      <c r="C10" s="13"/>
      <c r="D10" s="13"/>
      <c r="E10" s="13"/>
      <c r="F10" s="13"/>
      <c r="G10" s="14"/>
      <c r="Q10" s="21" t="s">
        <v>566</v>
      </c>
      <c r="R10" s="23">
        <v>0.69</v>
      </c>
      <c r="S10" s="23">
        <v>0.31</v>
      </c>
      <c r="T10" s="23">
        <v>0.17</v>
      </c>
      <c r="W10" s="27">
        <v>2022</v>
      </c>
      <c r="X10" s="28" t="s">
        <v>701</v>
      </c>
      <c r="Y10" s="28" t="s">
        <v>702</v>
      </c>
      <c r="Z10" s="31">
        <v>4.4000000000000004</v>
      </c>
      <c r="AA10" s="31">
        <v>2.1</v>
      </c>
      <c r="AB10" s="31">
        <v>1.2</v>
      </c>
      <c r="AC10" s="31">
        <v>1.99</v>
      </c>
    </row>
    <row r="11" spans="1:29" ht="15.75" customHeight="1" thickBot="1" x14ac:dyDescent="0.3">
      <c r="A11" s="17"/>
      <c r="B11" s="15"/>
      <c r="C11" s="13"/>
      <c r="D11" s="13"/>
      <c r="E11" s="13"/>
      <c r="F11" s="13"/>
      <c r="G11" s="14"/>
      <c r="Q11" s="21" t="s">
        <v>567</v>
      </c>
      <c r="R11" s="23">
        <v>0.86</v>
      </c>
      <c r="S11" s="23">
        <v>0.41</v>
      </c>
      <c r="T11" s="23">
        <v>0.24</v>
      </c>
      <c r="W11" s="27">
        <v>2021</v>
      </c>
      <c r="X11" s="28" t="s">
        <v>697</v>
      </c>
      <c r="Y11" s="28" t="s">
        <v>665</v>
      </c>
      <c r="Z11" s="31">
        <v>4.2</v>
      </c>
      <c r="AA11" s="31">
        <v>3.1</v>
      </c>
      <c r="AB11" s="31">
        <v>2.6</v>
      </c>
      <c r="AC11" s="31">
        <v>0.08</v>
      </c>
    </row>
    <row r="12" spans="1:29" ht="15.75" customHeight="1" thickBot="1" x14ac:dyDescent="0.3">
      <c r="A12" s="17"/>
      <c r="B12" s="15"/>
      <c r="C12" s="13"/>
      <c r="D12" s="13"/>
      <c r="E12" s="13"/>
      <c r="F12" s="13"/>
      <c r="G12" s="14"/>
      <c r="Q12" s="25" t="s">
        <v>703</v>
      </c>
      <c r="R12" s="26">
        <f>R11*2</f>
        <v>1.72</v>
      </c>
      <c r="S12" s="26">
        <f t="shared" ref="S12:T12" si="0">S11*2</f>
        <v>0.82</v>
      </c>
      <c r="T12" s="26">
        <f t="shared" si="0"/>
        <v>0.48</v>
      </c>
      <c r="W12" s="27">
        <v>2023</v>
      </c>
      <c r="X12" s="28" t="s">
        <v>704</v>
      </c>
      <c r="Y12" s="30" t="s">
        <v>665</v>
      </c>
      <c r="Z12" s="31">
        <v>2.5</v>
      </c>
      <c r="AA12" s="31">
        <v>1.2</v>
      </c>
      <c r="AB12" s="31">
        <v>0.6</v>
      </c>
      <c r="AC12" s="31">
        <v>0.93700000000000006</v>
      </c>
    </row>
    <row r="13" spans="1:29" ht="15.75" customHeight="1" thickBot="1" x14ac:dyDescent="0.3">
      <c r="A13" s="5">
        <v>1</v>
      </c>
      <c r="B13" s="4" t="s">
        <v>61</v>
      </c>
      <c r="C13">
        <v>0.5</v>
      </c>
      <c r="W13" s="27">
        <v>2022</v>
      </c>
      <c r="X13" s="28" t="s">
        <v>704</v>
      </c>
      <c r="Y13" s="28" t="s">
        <v>665</v>
      </c>
      <c r="Z13" s="31">
        <v>2.1</v>
      </c>
      <c r="AA13" s="31">
        <v>1</v>
      </c>
      <c r="AB13" s="31">
        <v>0.5</v>
      </c>
      <c r="AC13" s="31">
        <v>1.016</v>
      </c>
    </row>
    <row r="14" spans="1:29" ht="15.75" customHeight="1" thickBot="1" x14ac:dyDescent="0.3">
      <c r="A14" s="5">
        <v>1</v>
      </c>
      <c r="B14" s="4" t="s">
        <v>61</v>
      </c>
      <c r="C14">
        <v>0.68</v>
      </c>
      <c r="Q14" s="21" t="s">
        <v>705</v>
      </c>
      <c r="R14" s="23">
        <v>1.1399999999999999</v>
      </c>
      <c r="S14" s="23">
        <v>0.62</v>
      </c>
      <c r="T14" s="23">
        <v>0.3</v>
      </c>
      <c r="W14" s="27">
        <v>2021</v>
      </c>
      <c r="X14" s="28" t="s">
        <v>704</v>
      </c>
      <c r="Y14" s="28" t="s">
        <v>665</v>
      </c>
      <c r="Z14" s="31">
        <v>1.96</v>
      </c>
      <c r="AA14" s="31">
        <v>0.8</v>
      </c>
      <c r="AB14" s="31">
        <v>0.36</v>
      </c>
      <c r="AC14" s="31">
        <v>1.671</v>
      </c>
    </row>
    <row r="15" spans="1:29" ht="15.75" customHeight="1" thickBot="1" x14ac:dyDescent="0.3">
      <c r="A15" s="5">
        <v>1</v>
      </c>
      <c r="B15" s="4" t="s">
        <v>61</v>
      </c>
      <c r="C15">
        <v>0.52</v>
      </c>
    </row>
    <row r="16" spans="1:29" ht="15.75" customHeight="1" thickBot="1" x14ac:dyDescent="0.3">
      <c r="A16" s="5">
        <v>1</v>
      </c>
      <c r="B16" s="4" t="s">
        <v>61</v>
      </c>
      <c r="C16">
        <v>0.34</v>
      </c>
    </row>
    <row r="17" spans="1:29" ht="15.75" customHeight="1" thickBot="1" x14ac:dyDescent="0.3">
      <c r="A17" s="5">
        <v>1</v>
      </c>
      <c r="B17" s="4" t="s">
        <v>61</v>
      </c>
      <c r="C17">
        <v>0.98</v>
      </c>
      <c r="X17" t="s">
        <v>706</v>
      </c>
      <c r="Z17" s="155" t="s">
        <v>35</v>
      </c>
      <c r="AA17" s="155" t="s">
        <v>36</v>
      </c>
      <c r="AB17" s="155" t="s">
        <v>37</v>
      </c>
      <c r="AC17" s="155" t="s">
        <v>45</v>
      </c>
    </row>
    <row r="18" spans="1:29" ht="15.75" customHeight="1" thickBot="1" x14ac:dyDescent="0.3">
      <c r="A18" s="5">
        <v>1</v>
      </c>
      <c r="B18" s="4" t="s">
        <v>61</v>
      </c>
      <c r="C18">
        <v>0.34</v>
      </c>
      <c r="Q18" s="21" t="s">
        <v>558</v>
      </c>
      <c r="R18" s="154" t="s">
        <v>706</v>
      </c>
      <c r="S18" s="154"/>
      <c r="T18" s="154"/>
      <c r="W18" s="2" t="s">
        <v>21</v>
      </c>
      <c r="X18" s="2" t="s">
        <v>693</v>
      </c>
      <c r="Y18" s="3" t="s">
        <v>694</v>
      </c>
      <c r="Z18" s="156"/>
      <c r="AA18" s="156"/>
      <c r="AB18" s="156"/>
      <c r="AC18" s="156"/>
    </row>
    <row r="19" spans="1:29" ht="15.75" customHeight="1" thickBot="1" x14ac:dyDescent="0.4">
      <c r="A19" s="5">
        <v>1</v>
      </c>
      <c r="B19" s="4" t="s">
        <v>61</v>
      </c>
      <c r="C19">
        <v>0.38</v>
      </c>
      <c r="Q19" s="22"/>
      <c r="R19" s="23" t="s">
        <v>557</v>
      </c>
      <c r="S19" s="23" t="s">
        <v>573</v>
      </c>
      <c r="T19" s="23" t="s">
        <v>574</v>
      </c>
      <c r="W19" s="27">
        <v>2021</v>
      </c>
      <c r="X19" s="28" t="s">
        <v>707</v>
      </c>
      <c r="Y19" s="30" t="s">
        <v>702</v>
      </c>
      <c r="Z19" s="31">
        <v>117.42</v>
      </c>
      <c r="AA19" s="31">
        <v>39.450000000000003</v>
      </c>
      <c r="AB19" s="31">
        <v>19.62</v>
      </c>
      <c r="AC19" s="31">
        <v>1.41</v>
      </c>
    </row>
    <row r="20" spans="1:29" ht="15.75" customHeight="1" thickBot="1" x14ac:dyDescent="0.3">
      <c r="A20" s="5">
        <v>1</v>
      </c>
      <c r="B20" s="4" t="s">
        <v>61</v>
      </c>
      <c r="C20">
        <v>0.6</v>
      </c>
      <c r="Q20" s="21" t="s">
        <v>562</v>
      </c>
      <c r="R20" s="24">
        <v>0.99</v>
      </c>
      <c r="S20" s="24">
        <v>0.99</v>
      </c>
      <c r="T20" s="24">
        <v>0.99</v>
      </c>
      <c r="W20" s="27">
        <v>2022</v>
      </c>
      <c r="X20" s="28" t="s">
        <v>707</v>
      </c>
      <c r="Y20" s="28" t="s">
        <v>702</v>
      </c>
      <c r="Z20" s="31">
        <v>79.599999999999994</v>
      </c>
      <c r="AA20" s="31">
        <v>36.200000000000003</v>
      </c>
      <c r="AB20" s="31">
        <v>24.1</v>
      </c>
      <c r="AC20" s="31">
        <v>1.653</v>
      </c>
    </row>
    <row r="21" spans="1:29" ht="15.75" customHeight="1" thickBot="1" x14ac:dyDescent="0.3">
      <c r="A21" s="5">
        <v>1</v>
      </c>
      <c r="B21" s="4" t="s">
        <v>61</v>
      </c>
      <c r="C21">
        <v>0.4</v>
      </c>
      <c r="Q21" s="21" t="s">
        <v>563</v>
      </c>
      <c r="R21" s="23">
        <v>0.01</v>
      </c>
      <c r="S21" s="23">
        <v>0.01</v>
      </c>
      <c r="T21" s="23">
        <v>0.01</v>
      </c>
      <c r="W21" s="27">
        <v>2022</v>
      </c>
      <c r="X21" s="28" t="s">
        <v>708</v>
      </c>
      <c r="Y21" s="30" t="s">
        <v>709</v>
      </c>
      <c r="Z21" s="31">
        <v>3.6</v>
      </c>
      <c r="AA21" s="28"/>
      <c r="AB21" s="28"/>
      <c r="AC21" s="31">
        <v>0.1</v>
      </c>
    </row>
    <row r="22" spans="1:29" ht="15.75" customHeight="1" thickBot="1" x14ac:dyDescent="0.3">
      <c r="A22" s="5">
        <v>1</v>
      </c>
      <c r="B22" s="4" t="s">
        <v>61</v>
      </c>
      <c r="C22">
        <v>0.6</v>
      </c>
      <c r="Q22" s="21" t="s">
        <v>696</v>
      </c>
      <c r="R22" s="23">
        <v>2.58</v>
      </c>
      <c r="S22" s="23">
        <v>2.58</v>
      </c>
      <c r="T22" s="23">
        <v>2.58</v>
      </c>
      <c r="W22" s="27">
        <v>2021</v>
      </c>
      <c r="X22" s="28" t="s">
        <v>708</v>
      </c>
      <c r="Y22" s="28" t="s">
        <v>709</v>
      </c>
      <c r="Z22" s="31">
        <v>3.5</v>
      </c>
      <c r="AA22" s="28"/>
      <c r="AB22" s="28"/>
      <c r="AC22" s="31">
        <v>0.06</v>
      </c>
    </row>
    <row r="23" spans="1:29" ht="15.75" customHeight="1" thickBot="1" x14ac:dyDescent="0.3">
      <c r="A23" s="5">
        <v>1</v>
      </c>
      <c r="B23" s="4" t="s">
        <v>61</v>
      </c>
      <c r="C23">
        <v>0.5</v>
      </c>
      <c r="Q23" s="21" t="s">
        <v>565</v>
      </c>
      <c r="R23" s="23" t="s">
        <v>710</v>
      </c>
      <c r="S23" s="23" t="s">
        <v>711</v>
      </c>
      <c r="T23" s="23" t="s">
        <v>712</v>
      </c>
    </row>
    <row r="24" spans="1:29" ht="15.75" customHeight="1" thickBot="1" x14ac:dyDescent="0.3">
      <c r="A24" s="5">
        <v>1</v>
      </c>
      <c r="B24" s="4" t="s">
        <v>61</v>
      </c>
      <c r="C24">
        <v>0.48</v>
      </c>
      <c r="Q24" s="21" t="s">
        <v>566</v>
      </c>
      <c r="R24" s="23">
        <v>0.6</v>
      </c>
      <c r="S24" s="23">
        <v>0.24</v>
      </c>
      <c r="T24" s="23">
        <v>0.12</v>
      </c>
    </row>
    <row r="25" spans="1:29" ht="15.75" customHeight="1" thickBot="1" x14ac:dyDescent="0.3">
      <c r="A25" s="5">
        <v>1</v>
      </c>
      <c r="B25" s="4" t="s">
        <v>61</v>
      </c>
      <c r="C25">
        <v>0.94</v>
      </c>
      <c r="Q25" s="21" t="s">
        <v>567</v>
      </c>
      <c r="R25" s="23">
        <v>0.96</v>
      </c>
      <c r="S25" s="23">
        <v>0.44</v>
      </c>
      <c r="T25" s="23">
        <v>0.26</v>
      </c>
    </row>
    <row r="26" spans="1:29" ht="15.75" customHeight="1" thickBot="1" x14ac:dyDescent="0.3">
      <c r="A26" s="5">
        <v>1</v>
      </c>
      <c r="B26" s="4" t="s">
        <v>61</v>
      </c>
      <c r="C26">
        <v>0.6</v>
      </c>
      <c r="Q26" s="25" t="s">
        <v>703</v>
      </c>
      <c r="R26" s="26">
        <f>R25*2</f>
        <v>1.92</v>
      </c>
      <c r="S26" s="26">
        <f t="shared" ref="S26" si="1">S25*2</f>
        <v>0.88</v>
      </c>
      <c r="T26" s="26">
        <f t="shared" ref="T26" si="2">T25*2</f>
        <v>0.52</v>
      </c>
    </row>
    <row r="27" spans="1:29" ht="15.75" customHeight="1" thickBot="1" x14ac:dyDescent="0.3">
      <c r="A27" s="5">
        <v>2</v>
      </c>
      <c r="B27" s="4" t="s">
        <v>192</v>
      </c>
      <c r="C27">
        <v>0.84</v>
      </c>
    </row>
    <row r="28" spans="1:29" ht="15.75" customHeight="1" thickBot="1" x14ac:dyDescent="0.3">
      <c r="A28" s="5">
        <v>2</v>
      </c>
      <c r="B28" s="4" t="s">
        <v>192</v>
      </c>
      <c r="C28">
        <v>0.86</v>
      </c>
    </row>
    <row r="29" spans="1:29" ht="15.75" customHeight="1" thickBot="1" x14ac:dyDescent="0.3">
      <c r="A29" s="5">
        <v>2</v>
      </c>
      <c r="B29" s="4" t="s">
        <v>192</v>
      </c>
      <c r="C29">
        <v>0.48</v>
      </c>
    </row>
    <row r="30" spans="1:29" ht="15.75" customHeight="1" thickBot="1" x14ac:dyDescent="0.3">
      <c r="A30" s="5">
        <v>2</v>
      </c>
      <c r="B30" s="4" t="s">
        <v>192</v>
      </c>
      <c r="C30">
        <v>0.4</v>
      </c>
      <c r="Q30" s="21" t="s">
        <v>558</v>
      </c>
      <c r="R30" s="154" t="s">
        <v>713</v>
      </c>
      <c r="S30" s="154"/>
      <c r="T30" s="154"/>
    </row>
    <row r="31" spans="1:29" ht="15.75" customHeight="1" thickBot="1" x14ac:dyDescent="0.4">
      <c r="A31" s="5">
        <v>2</v>
      </c>
      <c r="B31" s="4" t="s">
        <v>192</v>
      </c>
      <c r="C31">
        <v>0.76</v>
      </c>
      <c r="Q31" s="22"/>
      <c r="R31" s="23" t="s">
        <v>557</v>
      </c>
      <c r="S31" s="23" t="s">
        <v>573</v>
      </c>
      <c r="T31" s="23" t="s">
        <v>574</v>
      </c>
    </row>
    <row r="32" spans="1:29" ht="15.75" customHeight="1" thickBot="1" x14ac:dyDescent="0.3">
      <c r="A32" s="5">
        <v>2</v>
      </c>
      <c r="B32" s="4" t="s">
        <v>192</v>
      </c>
      <c r="C32">
        <v>0.4</v>
      </c>
      <c r="Q32" s="21" t="s">
        <v>562</v>
      </c>
      <c r="R32" s="24">
        <v>0.99</v>
      </c>
      <c r="S32" s="24">
        <v>0.99</v>
      </c>
      <c r="T32" s="24">
        <v>0.99</v>
      </c>
    </row>
    <row r="33" spans="1:20" ht="15.75" customHeight="1" thickBot="1" x14ac:dyDescent="0.3">
      <c r="A33" s="5">
        <v>2</v>
      </c>
      <c r="B33" s="4" t="s">
        <v>192</v>
      </c>
      <c r="C33">
        <v>0.4</v>
      </c>
      <c r="Q33" s="21" t="s">
        <v>563</v>
      </c>
      <c r="R33" s="23">
        <v>0.01</v>
      </c>
      <c r="S33" s="23">
        <v>0.01</v>
      </c>
      <c r="T33" s="23">
        <v>0.01</v>
      </c>
    </row>
    <row r="34" spans="1:20" ht="15.75" customHeight="1" thickBot="1" x14ac:dyDescent="0.3">
      <c r="A34" s="5">
        <v>2</v>
      </c>
      <c r="B34" s="4" t="s">
        <v>192</v>
      </c>
      <c r="C34">
        <v>2</v>
      </c>
      <c r="Q34" s="21" t="s">
        <v>696</v>
      </c>
      <c r="R34" s="23">
        <v>2.58</v>
      </c>
      <c r="S34" s="23">
        <v>2.58</v>
      </c>
      <c r="T34" s="23">
        <v>2.58</v>
      </c>
    </row>
    <row r="35" spans="1:20" ht="15.75" customHeight="1" thickBot="1" x14ac:dyDescent="0.3">
      <c r="A35" s="5">
        <v>2</v>
      </c>
      <c r="B35" s="4" t="s">
        <v>192</v>
      </c>
      <c r="C35">
        <v>0.7</v>
      </c>
      <c r="Q35" s="21" t="s">
        <v>565</v>
      </c>
      <c r="R35" s="23" t="s">
        <v>714</v>
      </c>
      <c r="S35" s="23" t="s">
        <v>715</v>
      </c>
      <c r="T35" s="23" t="s">
        <v>716</v>
      </c>
    </row>
    <row r="36" spans="1:20" ht="15.75" customHeight="1" thickBot="1" x14ac:dyDescent="0.3">
      <c r="A36" s="5">
        <v>2</v>
      </c>
      <c r="B36" s="4" t="s">
        <v>192</v>
      </c>
      <c r="C36">
        <v>0.9</v>
      </c>
      <c r="Q36" s="21" t="s">
        <v>566</v>
      </c>
      <c r="R36" s="23">
        <v>0.53</v>
      </c>
      <c r="S36" s="23">
        <v>0.23</v>
      </c>
      <c r="T36" s="23">
        <v>0.13</v>
      </c>
    </row>
    <row r="37" spans="1:20" ht="15.75" customHeight="1" thickBot="1" x14ac:dyDescent="0.3">
      <c r="A37" s="5">
        <v>2</v>
      </c>
      <c r="B37" s="4" t="s">
        <v>192</v>
      </c>
      <c r="C37">
        <v>0.7</v>
      </c>
      <c r="Q37" s="21" t="s">
        <v>567</v>
      </c>
      <c r="R37" s="23">
        <v>0.82</v>
      </c>
      <c r="S37" s="23">
        <v>0.43</v>
      </c>
      <c r="T37" s="23">
        <v>0.28000000000000003</v>
      </c>
    </row>
    <row r="38" spans="1:20" ht="15.75" customHeight="1" thickBot="1" x14ac:dyDescent="0.3">
      <c r="A38" s="5">
        <v>2</v>
      </c>
      <c r="B38" s="4" t="s">
        <v>192</v>
      </c>
      <c r="C38">
        <v>0.64</v>
      </c>
      <c r="Q38" s="25" t="s">
        <v>703</v>
      </c>
      <c r="R38" s="26">
        <f>R37*2</f>
        <v>1.64</v>
      </c>
      <c r="S38" s="26">
        <f t="shared" ref="S38" si="3">S37*2</f>
        <v>0.86</v>
      </c>
      <c r="T38" s="26">
        <f t="shared" ref="T38" si="4">T37*2</f>
        <v>0.56000000000000005</v>
      </c>
    </row>
    <row r="39" spans="1:20" ht="15.75" customHeight="1" thickBot="1" x14ac:dyDescent="0.3">
      <c r="A39" s="5">
        <v>2</v>
      </c>
      <c r="B39" s="4" t="s">
        <v>192</v>
      </c>
      <c r="C39">
        <v>1.3</v>
      </c>
    </row>
    <row r="40" spans="1:20" ht="15.75" customHeight="1" thickBot="1" x14ac:dyDescent="0.3">
      <c r="A40" s="5">
        <v>2</v>
      </c>
      <c r="B40" s="4" t="s">
        <v>192</v>
      </c>
      <c r="C40">
        <v>0.8</v>
      </c>
    </row>
    <row r="41" spans="1:20" ht="15.75" customHeight="1" thickBot="1" x14ac:dyDescent="0.3">
      <c r="A41" s="5">
        <v>3</v>
      </c>
      <c r="B41" s="4" t="s">
        <v>338</v>
      </c>
      <c r="C41">
        <v>0.74</v>
      </c>
    </row>
    <row r="42" spans="1:20" ht="15.75" customHeight="1" thickBot="1" x14ac:dyDescent="0.3">
      <c r="A42" s="5">
        <v>3</v>
      </c>
      <c r="B42" s="4" t="s">
        <v>338</v>
      </c>
      <c r="C42">
        <v>0.74</v>
      </c>
      <c r="Q42" s="21" t="s">
        <v>558</v>
      </c>
      <c r="R42" s="154" t="s">
        <v>717</v>
      </c>
      <c r="S42" s="154"/>
      <c r="T42" s="154"/>
    </row>
    <row r="43" spans="1:20" ht="15.75" customHeight="1" thickBot="1" x14ac:dyDescent="0.4">
      <c r="A43" s="5">
        <v>3</v>
      </c>
      <c r="B43" s="4" t="s">
        <v>338</v>
      </c>
      <c r="C43">
        <v>0.4</v>
      </c>
      <c r="Q43" s="22"/>
      <c r="R43" s="23" t="s">
        <v>557</v>
      </c>
      <c r="S43" s="23" t="s">
        <v>573</v>
      </c>
      <c r="T43" s="23" t="s">
        <v>574</v>
      </c>
    </row>
    <row r="44" spans="1:20" ht="15.75" customHeight="1" thickBot="1" x14ac:dyDescent="0.3">
      <c r="A44" s="5">
        <v>3</v>
      </c>
      <c r="B44" s="4" t="s">
        <v>338</v>
      </c>
      <c r="C44">
        <v>0.38</v>
      </c>
      <c r="Q44" s="21" t="s">
        <v>562</v>
      </c>
      <c r="R44" s="24">
        <v>0.99</v>
      </c>
      <c r="S44" s="24">
        <v>0.99</v>
      </c>
      <c r="T44" s="24">
        <v>0.99</v>
      </c>
    </row>
    <row r="45" spans="1:20" ht="15.75" customHeight="1" thickBot="1" x14ac:dyDescent="0.3">
      <c r="A45" s="5">
        <v>3</v>
      </c>
      <c r="B45" s="4" t="s">
        <v>338</v>
      </c>
      <c r="C45">
        <v>0.98</v>
      </c>
      <c r="Q45" s="21" t="s">
        <v>563</v>
      </c>
      <c r="R45" s="23">
        <v>0.01</v>
      </c>
      <c r="S45" s="23">
        <v>0.01</v>
      </c>
      <c r="T45" s="23">
        <v>0.01</v>
      </c>
    </row>
    <row r="46" spans="1:20" ht="15.75" customHeight="1" thickBot="1" x14ac:dyDescent="0.3">
      <c r="A46" s="5">
        <v>3</v>
      </c>
      <c r="B46" s="4" t="s">
        <v>338</v>
      </c>
      <c r="C46">
        <v>0.42</v>
      </c>
      <c r="Q46" s="21" t="s">
        <v>696</v>
      </c>
      <c r="R46" s="23">
        <v>2.58</v>
      </c>
      <c r="S46" s="23">
        <v>2.58</v>
      </c>
      <c r="T46" s="23">
        <v>2.58</v>
      </c>
    </row>
    <row r="47" spans="1:20" ht="15.75" customHeight="1" thickBot="1" x14ac:dyDescent="0.3">
      <c r="A47" s="5">
        <v>3</v>
      </c>
      <c r="B47" s="4" t="s">
        <v>338</v>
      </c>
      <c r="C47">
        <v>0.26</v>
      </c>
      <c r="Q47" s="21" t="s">
        <v>565</v>
      </c>
      <c r="R47" s="23" t="s">
        <v>718</v>
      </c>
      <c r="S47" s="23" t="s">
        <v>719</v>
      </c>
      <c r="T47" s="23" t="s">
        <v>720</v>
      </c>
    </row>
    <row r="48" spans="1:20" ht="15.75" customHeight="1" thickBot="1" x14ac:dyDescent="0.3">
      <c r="A48" s="5">
        <v>3</v>
      </c>
      <c r="B48" s="4" t="s">
        <v>338</v>
      </c>
      <c r="C48">
        <v>1.8</v>
      </c>
      <c r="Q48" s="21" t="s">
        <v>566</v>
      </c>
      <c r="R48" s="23">
        <v>0.84</v>
      </c>
      <c r="S48" s="23">
        <v>0.43</v>
      </c>
      <c r="T48" s="23">
        <v>0.24</v>
      </c>
    </row>
    <row r="49" spans="1:20" ht="15.75" customHeight="1" thickBot="1" x14ac:dyDescent="0.3">
      <c r="A49" s="5">
        <v>3</v>
      </c>
      <c r="B49" s="4" t="s">
        <v>338</v>
      </c>
      <c r="C49">
        <v>0.7</v>
      </c>
      <c r="Q49" s="21" t="s">
        <v>567</v>
      </c>
      <c r="R49" s="23">
        <v>1.49</v>
      </c>
      <c r="S49" s="23">
        <v>0.95</v>
      </c>
      <c r="T49" s="23">
        <v>0.55000000000000004</v>
      </c>
    </row>
    <row r="50" spans="1:20" ht="15.75" customHeight="1" thickBot="1" x14ac:dyDescent="0.3">
      <c r="A50" s="5">
        <v>3</v>
      </c>
      <c r="B50" s="4" t="s">
        <v>338</v>
      </c>
      <c r="C50">
        <v>0.7</v>
      </c>
      <c r="Q50" s="25" t="s">
        <v>703</v>
      </c>
      <c r="R50" s="26">
        <f>R49*2</f>
        <v>2.98</v>
      </c>
      <c r="S50" s="26">
        <f t="shared" ref="S50" si="5">S49*2</f>
        <v>1.9</v>
      </c>
      <c r="T50" s="26">
        <f t="shared" ref="T50" si="6">T49*2</f>
        <v>1.1000000000000001</v>
      </c>
    </row>
    <row r="51" spans="1:20" ht="15.75" customHeight="1" thickBot="1" x14ac:dyDescent="0.3">
      <c r="A51" s="5">
        <v>3</v>
      </c>
      <c r="B51" s="4" t="s">
        <v>338</v>
      </c>
      <c r="C51">
        <v>0.6</v>
      </c>
    </row>
    <row r="52" spans="1:20" ht="15.75" customHeight="1" thickBot="1" x14ac:dyDescent="0.3">
      <c r="A52" s="5">
        <v>3</v>
      </c>
      <c r="B52" s="4" t="s">
        <v>338</v>
      </c>
      <c r="C52">
        <v>0.62</v>
      </c>
    </row>
    <row r="53" spans="1:20" ht="15.75" customHeight="1" thickBot="1" x14ac:dyDescent="0.3">
      <c r="A53" s="5">
        <v>3</v>
      </c>
      <c r="B53" s="4" t="s">
        <v>338</v>
      </c>
      <c r="C53">
        <v>0.94</v>
      </c>
    </row>
    <row r="54" spans="1:20" ht="15.75" customHeight="1" thickBot="1" x14ac:dyDescent="0.3">
      <c r="A54" s="5">
        <v>3</v>
      </c>
      <c r="B54" s="4" t="s">
        <v>338</v>
      </c>
      <c r="C54">
        <v>0.6</v>
      </c>
    </row>
    <row r="55" spans="1:20" ht="15.75" customHeight="1" thickBot="1" x14ac:dyDescent="0.3">
      <c r="A55" s="5">
        <v>4</v>
      </c>
      <c r="B55" s="4" t="s">
        <v>454</v>
      </c>
      <c r="C55">
        <v>1.96</v>
      </c>
    </row>
    <row r="56" spans="1:20" ht="15.75" customHeight="1" thickBot="1" x14ac:dyDescent="0.3">
      <c r="A56" s="5">
        <v>4</v>
      </c>
      <c r="B56" s="4" t="s">
        <v>454</v>
      </c>
      <c r="C56">
        <v>0.82</v>
      </c>
    </row>
    <row r="57" spans="1:20" ht="15.75" customHeight="1" thickBot="1" x14ac:dyDescent="0.3">
      <c r="A57" s="5">
        <v>4</v>
      </c>
      <c r="B57" s="4" t="s">
        <v>454</v>
      </c>
      <c r="C57">
        <v>0.57999999999999996</v>
      </c>
    </row>
    <row r="58" spans="1:20" ht="15.75" customHeight="1" thickBot="1" x14ac:dyDescent="0.3">
      <c r="A58" s="5">
        <v>4</v>
      </c>
      <c r="B58" s="4" t="s">
        <v>454</v>
      </c>
      <c r="C58">
        <v>0.24</v>
      </c>
    </row>
    <row r="59" spans="1:20" ht="15.75" customHeight="1" thickBot="1" x14ac:dyDescent="0.3">
      <c r="A59" s="5">
        <v>4</v>
      </c>
      <c r="B59" s="4" t="s">
        <v>454</v>
      </c>
      <c r="C59">
        <v>3.32</v>
      </c>
    </row>
    <row r="60" spans="1:20" ht="15.75" customHeight="1" thickBot="1" x14ac:dyDescent="0.3">
      <c r="A60" s="5">
        <v>4</v>
      </c>
      <c r="B60" s="4" t="s">
        <v>454</v>
      </c>
      <c r="C60">
        <v>0.57999999999999996</v>
      </c>
    </row>
    <row r="61" spans="1:20" ht="15.75" customHeight="1" thickBot="1" x14ac:dyDescent="0.3">
      <c r="A61" s="5">
        <v>4</v>
      </c>
      <c r="B61" s="4" t="s">
        <v>454</v>
      </c>
      <c r="C61">
        <v>0.26</v>
      </c>
    </row>
    <row r="62" spans="1:20" ht="15.75" customHeight="1" thickBot="1" x14ac:dyDescent="0.3">
      <c r="A62" s="5">
        <v>4</v>
      </c>
      <c r="B62" s="4" t="s">
        <v>454</v>
      </c>
      <c r="C62">
        <v>0.8</v>
      </c>
    </row>
    <row r="63" spans="1:20" ht="15.75" customHeight="1" thickBot="1" x14ac:dyDescent="0.3">
      <c r="A63" s="5">
        <v>4</v>
      </c>
      <c r="B63" s="4" t="s">
        <v>454</v>
      </c>
      <c r="C63">
        <v>0.9</v>
      </c>
    </row>
    <row r="64" spans="1:20" ht="15.75" customHeight="1" thickBot="1" x14ac:dyDescent="0.3">
      <c r="A64" s="5">
        <v>4</v>
      </c>
      <c r="B64" s="4" t="s">
        <v>454</v>
      </c>
      <c r="C64">
        <v>0.7</v>
      </c>
    </row>
    <row r="65" spans="1:3" ht="15.75" customHeight="1" thickBot="1" x14ac:dyDescent="0.3">
      <c r="A65" s="5">
        <v>4</v>
      </c>
      <c r="B65" s="4" t="s">
        <v>454</v>
      </c>
      <c r="C65">
        <v>0.8</v>
      </c>
    </row>
    <row r="66" spans="1:3" ht="15.75" customHeight="1" thickBot="1" x14ac:dyDescent="0.3">
      <c r="A66" s="5">
        <v>4</v>
      </c>
      <c r="B66" s="4" t="s">
        <v>454</v>
      </c>
      <c r="C66">
        <v>0.92</v>
      </c>
    </row>
    <row r="67" spans="1:3" ht="15.75" customHeight="1" thickBot="1" x14ac:dyDescent="0.3">
      <c r="A67" s="5">
        <v>4</v>
      </c>
      <c r="B67" s="4" t="s">
        <v>454</v>
      </c>
      <c r="C67">
        <v>1.56</v>
      </c>
    </row>
    <row r="68" spans="1:3" ht="15.75" customHeight="1" thickBot="1" x14ac:dyDescent="0.3">
      <c r="A68" s="5">
        <v>4</v>
      </c>
      <c r="B68" s="4" t="s">
        <v>454</v>
      </c>
      <c r="C68">
        <v>1.5</v>
      </c>
    </row>
    <row r="69" spans="1:3" ht="15.75" customHeight="1" thickBot="1" x14ac:dyDescent="0.3">
      <c r="A69" s="5"/>
      <c r="B69" s="4"/>
    </row>
    <row r="70" spans="1:3" ht="15.75" customHeight="1" thickBot="1" x14ac:dyDescent="0.3">
      <c r="A70" s="5"/>
      <c r="B70" s="4"/>
    </row>
    <row r="71" spans="1:3" ht="15.75" customHeight="1" thickBot="1" x14ac:dyDescent="0.3">
      <c r="A71" s="5"/>
      <c r="B71" s="4"/>
    </row>
    <row r="72" spans="1:3" ht="15.75" customHeight="1" thickBot="1" x14ac:dyDescent="0.3">
      <c r="A72" s="5"/>
      <c r="B72" s="4"/>
    </row>
    <row r="73" spans="1:3" ht="15.75" customHeight="1" thickBot="1" x14ac:dyDescent="0.3">
      <c r="A73" s="5"/>
      <c r="B73" s="4"/>
    </row>
    <row r="74" spans="1:3" ht="15.75" customHeight="1" thickBot="1" x14ac:dyDescent="0.3">
      <c r="A74" s="5"/>
      <c r="B74" s="4"/>
    </row>
    <row r="75" spans="1:3" ht="15.75" customHeight="1" thickBot="1" x14ac:dyDescent="0.3">
      <c r="A75" s="5"/>
      <c r="B75" s="4"/>
    </row>
    <row r="76" spans="1:3" ht="15.75" customHeight="1" thickBot="1" x14ac:dyDescent="0.3">
      <c r="A76" s="5"/>
      <c r="B76" s="4"/>
    </row>
    <row r="77" spans="1:3" ht="15.75" customHeight="1" thickBot="1" x14ac:dyDescent="0.3">
      <c r="A77" s="5"/>
      <c r="B77" s="4"/>
    </row>
    <row r="78" spans="1:3" ht="15.75" customHeight="1" thickBot="1" x14ac:dyDescent="0.3">
      <c r="A78" s="5"/>
      <c r="B78" s="4"/>
    </row>
    <row r="79" spans="1:3" ht="15.75" customHeight="1" thickBot="1" x14ac:dyDescent="0.3">
      <c r="A79" s="5"/>
      <c r="B79" s="4"/>
    </row>
    <row r="80" spans="1:3" ht="15.75" customHeight="1" thickBot="1" x14ac:dyDescent="0.3">
      <c r="A80" s="5"/>
      <c r="B80" s="4"/>
    </row>
    <row r="81" spans="1:2" ht="15.75" customHeight="1" thickBot="1" x14ac:dyDescent="0.3">
      <c r="A81" s="5"/>
      <c r="B81" s="4"/>
    </row>
    <row r="82" spans="1:2" ht="15.75" customHeight="1" thickBot="1" x14ac:dyDescent="0.3">
      <c r="A82" s="5"/>
      <c r="B82" s="4"/>
    </row>
    <row r="83" spans="1:2" ht="15.75" customHeight="1" thickBot="1" x14ac:dyDescent="0.3">
      <c r="A83" s="5"/>
      <c r="B83" s="4"/>
    </row>
    <row r="84" spans="1:2" ht="15.75" customHeight="1" thickBot="1" x14ac:dyDescent="0.3">
      <c r="A84" s="5"/>
      <c r="B84" s="4"/>
    </row>
    <row r="85" spans="1:2" ht="15.75" customHeight="1" thickBot="1" x14ac:dyDescent="0.3">
      <c r="A85" s="5"/>
      <c r="B85" s="4"/>
    </row>
    <row r="86" spans="1:2" ht="15.75" customHeight="1" thickBot="1" x14ac:dyDescent="0.3">
      <c r="A86" s="5"/>
      <c r="B86" s="4"/>
    </row>
    <row r="87" spans="1:2" ht="15.75" customHeight="1" thickBot="1" x14ac:dyDescent="0.3">
      <c r="A87" s="5"/>
      <c r="B87" s="4"/>
    </row>
    <row r="88" spans="1:2" ht="15.75" customHeight="1" thickBot="1" x14ac:dyDescent="0.3">
      <c r="A88" s="5"/>
      <c r="B88" s="4"/>
    </row>
    <row r="89" spans="1:2" ht="15.75" customHeight="1" thickBot="1" x14ac:dyDescent="0.3">
      <c r="A89" s="5"/>
      <c r="B89" s="4"/>
    </row>
    <row r="90" spans="1:2" ht="15.75" customHeight="1" thickBot="1" x14ac:dyDescent="0.3">
      <c r="A90" s="5"/>
      <c r="B90" s="4"/>
    </row>
    <row r="91" spans="1:2" ht="15.75" customHeight="1" thickBot="1" x14ac:dyDescent="0.3">
      <c r="A91" s="5"/>
      <c r="B91" s="4"/>
    </row>
    <row r="92" spans="1:2" ht="15.75" customHeight="1" thickBot="1" x14ac:dyDescent="0.3">
      <c r="A92" s="5"/>
      <c r="B92" s="4"/>
    </row>
    <row r="93" spans="1:2" ht="15.75" customHeight="1" thickBot="1" x14ac:dyDescent="0.3">
      <c r="A93" s="5"/>
      <c r="B93" s="4"/>
    </row>
    <row r="94" spans="1:2" ht="15.75" customHeight="1" thickBot="1" x14ac:dyDescent="0.3">
      <c r="A94" s="5"/>
      <c r="B94" s="4"/>
    </row>
    <row r="95" spans="1:2" ht="15.75" customHeight="1" thickBot="1" x14ac:dyDescent="0.3">
      <c r="A95" s="5"/>
      <c r="B95" s="4"/>
    </row>
    <row r="96" spans="1:2" ht="15.75" customHeight="1" thickBot="1" x14ac:dyDescent="0.3">
      <c r="A96" s="5"/>
      <c r="B96" s="4"/>
    </row>
    <row r="97" spans="1:2" ht="15.75" customHeight="1" thickBot="1" x14ac:dyDescent="0.3">
      <c r="A97" s="5"/>
      <c r="B97" s="4"/>
    </row>
    <row r="98" spans="1:2" ht="15.75" customHeight="1" thickBot="1" x14ac:dyDescent="0.3">
      <c r="A98" s="5"/>
      <c r="B98" s="4"/>
    </row>
    <row r="99" spans="1:2" ht="15.75" customHeight="1" thickBot="1" x14ac:dyDescent="0.3">
      <c r="A99" s="5"/>
      <c r="B99" s="4"/>
    </row>
    <row r="100" spans="1:2" ht="15.75" customHeight="1" thickBot="1" x14ac:dyDescent="0.3">
      <c r="A100" s="5"/>
      <c r="B100" s="4"/>
    </row>
    <row r="101" spans="1:2" ht="15.75" customHeight="1" thickBot="1" x14ac:dyDescent="0.3">
      <c r="A101" s="5"/>
      <c r="B101" s="4"/>
    </row>
    <row r="102" spans="1:2" ht="15.75" customHeight="1" thickBot="1" x14ac:dyDescent="0.3">
      <c r="A102" s="5"/>
      <c r="B102" s="4"/>
    </row>
    <row r="103" spans="1:2" ht="15.75" customHeight="1" thickBot="1" x14ac:dyDescent="0.3">
      <c r="A103" s="5"/>
      <c r="B103" s="4"/>
    </row>
    <row r="104" spans="1:2" ht="15.75" customHeight="1" thickBot="1" x14ac:dyDescent="0.3">
      <c r="A104" s="5"/>
      <c r="B104" s="4"/>
    </row>
    <row r="105" spans="1:2" ht="15.75" customHeight="1" thickBot="1" x14ac:dyDescent="0.3">
      <c r="A105" s="5"/>
      <c r="B105" s="4"/>
    </row>
    <row r="106" spans="1:2" ht="15.75" customHeight="1" thickBot="1" x14ac:dyDescent="0.3">
      <c r="A106" s="5"/>
      <c r="B106" s="4"/>
    </row>
    <row r="107" spans="1:2" ht="15.75" customHeight="1" thickBot="1" x14ac:dyDescent="0.3">
      <c r="A107" s="5"/>
      <c r="B107" s="4"/>
    </row>
    <row r="108" spans="1:2" ht="15.75" customHeight="1" thickBot="1" x14ac:dyDescent="0.3">
      <c r="A108" s="5"/>
      <c r="B108" s="4"/>
    </row>
    <row r="109" spans="1:2" ht="15.75" customHeight="1" thickBot="1" x14ac:dyDescent="0.3">
      <c r="A109" s="5"/>
      <c r="B109" s="4"/>
    </row>
    <row r="110" spans="1:2" ht="15.75" customHeight="1" thickBot="1" x14ac:dyDescent="0.3">
      <c r="A110" s="5"/>
      <c r="B110" s="4"/>
    </row>
    <row r="111" spans="1:2" ht="15.75" customHeight="1" thickBot="1" x14ac:dyDescent="0.3">
      <c r="A111" s="5"/>
      <c r="B111" s="4"/>
    </row>
    <row r="112" spans="1:2" ht="15.75" customHeight="1" thickBot="1" x14ac:dyDescent="0.3">
      <c r="A112" s="5"/>
      <c r="B112" s="4"/>
    </row>
    <row r="113" spans="1:2" ht="15.75" customHeight="1" thickBot="1" x14ac:dyDescent="0.3">
      <c r="A113" s="5"/>
      <c r="B113" s="4"/>
    </row>
    <row r="114" spans="1:2" ht="15.75" customHeight="1" thickBot="1" x14ac:dyDescent="0.3">
      <c r="A114" s="5"/>
      <c r="B114" s="4"/>
    </row>
    <row r="115" spans="1:2" ht="15.75" customHeight="1" thickBot="1" x14ac:dyDescent="0.3">
      <c r="A115" s="5"/>
      <c r="B115" s="4"/>
    </row>
    <row r="116" spans="1:2" ht="15.75" customHeight="1" thickBot="1" x14ac:dyDescent="0.3">
      <c r="A116" s="5"/>
      <c r="B116" s="4"/>
    </row>
    <row r="117" spans="1:2" ht="15.75" customHeight="1" thickBot="1" x14ac:dyDescent="0.3">
      <c r="A117" s="5"/>
      <c r="B117" s="4"/>
    </row>
    <row r="118" spans="1:2" ht="15.75" customHeight="1" thickBot="1" x14ac:dyDescent="0.3">
      <c r="A118" s="5"/>
      <c r="B118" s="4"/>
    </row>
    <row r="119" spans="1:2" ht="15.75" customHeight="1" thickBot="1" x14ac:dyDescent="0.3">
      <c r="A119" s="5"/>
      <c r="B119" s="4"/>
    </row>
    <row r="120" spans="1:2" ht="15.75" customHeight="1" thickBot="1" x14ac:dyDescent="0.3">
      <c r="A120" s="5"/>
      <c r="B120" s="4"/>
    </row>
    <row r="121" spans="1:2" ht="15.75" customHeight="1" thickBot="1" x14ac:dyDescent="0.3">
      <c r="A121" s="5"/>
      <c r="B121" s="4"/>
    </row>
    <row r="122" spans="1:2" ht="15.75" customHeight="1" thickBot="1" x14ac:dyDescent="0.3">
      <c r="A122" s="5"/>
      <c r="B122" s="4"/>
    </row>
    <row r="123" spans="1:2" ht="15.75" customHeight="1" thickBot="1" x14ac:dyDescent="0.3">
      <c r="A123" s="5"/>
      <c r="B123" s="4"/>
    </row>
    <row r="124" spans="1:2" ht="15.75" customHeight="1" thickBot="1" x14ac:dyDescent="0.3">
      <c r="A124" s="5"/>
      <c r="B124" s="4"/>
    </row>
    <row r="125" spans="1:2" ht="15.75" customHeight="1" thickBot="1" x14ac:dyDescent="0.3">
      <c r="A125" s="5"/>
      <c r="B125" s="4"/>
    </row>
    <row r="126" spans="1:2" ht="15.75" customHeight="1" thickBot="1" x14ac:dyDescent="0.3">
      <c r="A126" s="5"/>
      <c r="B126" s="4"/>
    </row>
    <row r="127" spans="1:2" ht="15.75" customHeight="1" thickBot="1" x14ac:dyDescent="0.3">
      <c r="A127" s="5"/>
      <c r="B127" s="4"/>
    </row>
    <row r="128" spans="1:2" ht="15.75" customHeight="1" thickBot="1" x14ac:dyDescent="0.3">
      <c r="A128" s="5"/>
      <c r="B128" s="4"/>
    </row>
    <row r="129" spans="1:2" ht="15.75" customHeight="1" thickBot="1" x14ac:dyDescent="0.3">
      <c r="A129" s="5"/>
      <c r="B129" s="4"/>
    </row>
    <row r="130" spans="1:2" ht="15.75" customHeight="1" thickBot="1" x14ac:dyDescent="0.3">
      <c r="A130" s="5"/>
      <c r="B130" s="4"/>
    </row>
    <row r="131" spans="1:2" ht="15.75" customHeight="1" thickBot="1" x14ac:dyDescent="0.3">
      <c r="A131" s="5"/>
      <c r="B131" s="4"/>
    </row>
    <row r="132" spans="1:2" ht="15.75" customHeight="1" thickBot="1" x14ac:dyDescent="0.3">
      <c r="A132" s="5"/>
      <c r="B132" s="4"/>
    </row>
    <row r="133" spans="1:2" ht="15.75" customHeight="1" thickBot="1" x14ac:dyDescent="0.3">
      <c r="A133" s="5"/>
      <c r="B133" s="4"/>
    </row>
    <row r="134" spans="1:2" ht="15.75" customHeight="1" thickBot="1" x14ac:dyDescent="0.3">
      <c r="A134" s="5"/>
      <c r="B134" s="4"/>
    </row>
    <row r="135" spans="1:2" ht="15.75" customHeight="1" thickBot="1" x14ac:dyDescent="0.3">
      <c r="A135" s="5"/>
      <c r="B135" s="4"/>
    </row>
    <row r="136" spans="1:2" ht="15.75" customHeight="1" thickBot="1" x14ac:dyDescent="0.3">
      <c r="A136" s="5"/>
      <c r="B136" s="4"/>
    </row>
    <row r="137" spans="1:2" ht="15.75" customHeight="1" thickBot="1" x14ac:dyDescent="0.3">
      <c r="A137" s="5"/>
      <c r="B137" s="4"/>
    </row>
    <row r="138" spans="1:2" ht="15.75" customHeight="1" thickBot="1" x14ac:dyDescent="0.3">
      <c r="A138" s="5"/>
      <c r="B138" s="4"/>
    </row>
    <row r="139" spans="1:2" ht="15.75" customHeight="1" thickBot="1" x14ac:dyDescent="0.3">
      <c r="A139" s="5"/>
      <c r="B139" s="4"/>
    </row>
    <row r="140" spans="1:2" ht="15.75" customHeight="1" thickBot="1" x14ac:dyDescent="0.3">
      <c r="A140" s="5"/>
      <c r="B140" s="4"/>
    </row>
    <row r="141" spans="1:2" ht="15.75" customHeight="1" thickBot="1" x14ac:dyDescent="0.3">
      <c r="A141" s="5"/>
      <c r="B141" s="4"/>
    </row>
    <row r="142" spans="1:2" ht="15.75" customHeight="1" thickBot="1" x14ac:dyDescent="0.3">
      <c r="A142" s="5"/>
      <c r="B142" s="4"/>
    </row>
    <row r="143" spans="1:2" ht="15.75" customHeight="1" thickBot="1" x14ac:dyDescent="0.3">
      <c r="A143" s="5"/>
      <c r="B143" s="4"/>
    </row>
    <row r="144" spans="1:2" ht="15.75" customHeight="1" thickBot="1" x14ac:dyDescent="0.3">
      <c r="A144" s="5"/>
      <c r="B144" s="4"/>
    </row>
    <row r="145" spans="1:2" ht="15.75" customHeight="1" thickBot="1" x14ac:dyDescent="0.3">
      <c r="A145" s="5"/>
      <c r="B145" s="4"/>
    </row>
    <row r="146" spans="1:2" ht="15.75" customHeight="1" thickBot="1" x14ac:dyDescent="0.3">
      <c r="A146" s="5"/>
      <c r="B146" s="4"/>
    </row>
    <row r="147" spans="1:2" ht="15.75" customHeight="1" thickBot="1" x14ac:dyDescent="0.3">
      <c r="A147" s="5"/>
      <c r="B147" s="4"/>
    </row>
    <row r="148" spans="1:2" ht="15.75" customHeight="1" thickBot="1" x14ac:dyDescent="0.3">
      <c r="A148" s="5"/>
      <c r="B148" s="4"/>
    </row>
    <row r="149" spans="1:2" ht="15.75" customHeight="1" thickBot="1" x14ac:dyDescent="0.3">
      <c r="A149" s="5"/>
      <c r="B149" s="4"/>
    </row>
    <row r="150" spans="1:2" ht="15.75" customHeight="1" thickBot="1" x14ac:dyDescent="0.3">
      <c r="A150" s="5"/>
      <c r="B150" s="4"/>
    </row>
  </sheetData>
  <sortState xmlns:xlrd2="http://schemas.microsoft.com/office/spreadsheetml/2017/richdata2" ref="A13:C68">
    <sortCondition ref="A13:A68"/>
  </sortState>
  <mergeCells count="12">
    <mergeCell ref="R42:T42"/>
    <mergeCell ref="R18:T18"/>
    <mergeCell ref="R30:T30"/>
    <mergeCell ref="R4:T4"/>
    <mergeCell ref="AC4:AC5"/>
    <mergeCell ref="AB4:AB5"/>
    <mergeCell ref="AA4:AA5"/>
    <mergeCell ref="Z4:Z5"/>
    <mergeCell ref="Z17:Z18"/>
    <mergeCell ref="AA17:AA18"/>
    <mergeCell ref="AB17:AB18"/>
    <mergeCell ref="AC17:AC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Contenido</vt:lpstr>
      <vt:lpstr>Resultados historicos</vt:lpstr>
      <vt:lpstr>TD historicos</vt:lpstr>
      <vt:lpstr>RN436</vt:lpstr>
      <vt:lpstr>RN525</vt:lpstr>
      <vt:lpstr>RN620</vt:lpstr>
      <vt:lpstr>CM436</vt:lpstr>
      <vt:lpstr>CM525</vt:lpstr>
      <vt:lpstr>CM620</vt:lpstr>
      <vt:lpstr>MN436</vt:lpstr>
      <vt:lpstr>MN525</vt:lpstr>
      <vt:lpstr>MN620</vt:lpstr>
      <vt:lpstr>MO436</vt:lpstr>
      <vt:lpstr>MO525</vt:lpstr>
      <vt:lpstr>MO620</vt:lpstr>
      <vt:lpstr>Estadistico resumen</vt:lpstr>
      <vt:lpstr>Mezclas RN</vt:lpstr>
      <vt:lpstr>Mezclas CM</vt:lpstr>
      <vt:lpstr>Mezclas MN</vt:lpstr>
      <vt:lpstr>Mezclas MO</vt:lpstr>
      <vt:lpstr>Evaluación Usuarios</vt:lpstr>
      <vt:lpstr>Intervalos de confianza</vt:lpstr>
    </vt:vector>
  </TitlesOfParts>
  <Manager/>
  <Company>CORNARE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Daniel Tejada Ortiz</dc:creator>
  <cp:keywords/>
  <dc:description/>
  <cp:lastModifiedBy>ji 10401</cp:lastModifiedBy>
  <cp:revision/>
  <dcterms:created xsi:type="dcterms:W3CDTF">2024-04-08T19:58:42Z</dcterms:created>
  <dcterms:modified xsi:type="dcterms:W3CDTF">2026-09-04T15:43:38Z</dcterms:modified>
  <cp:category/>
  <cp:contentStatus/>
</cp:coreProperties>
</file>